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530" tabRatio="714" firstSheet="1" activeTab="2"/>
  </bookViews>
  <sheets>
    <sheet name="DT THU 2023" sheetId="1" r:id="rId1"/>
    <sheet name="tien dat 2023" sheetId="2" r:id="rId2"/>
    <sheet name="thu phí,lệ phí, khac 2023" sheetId="3" r:id="rId3"/>
    <sheet name="DT CHI 2023" sheetId="4" r:id="rId4"/>
    <sheet name="Chi khac" sheetId="5" r:id="rId5"/>
    <sheet name="Chi DP" sheetId="6" r:id="rId6"/>
    <sheet name="Biểu 6 Nợ đọng XDCB-nợ thực" sheetId="11" r:id="rId7"/>
    <sheet name="NV 6 tháng cuối năm" sheetId="8" r:id="rId8"/>
    <sheet name="thu phí,lệ phí, khac 6 tháng CN" sheetId="9" r:id="rId9"/>
    <sheet name="DT CHI 2023 (6th CN)" sheetId="10" r:id="rId10"/>
  </sheets>
  <externalReferences>
    <externalReference r:id="rId11"/>
    <externalReference r:id="rId12"/>
  </externalReferences>
  <definedNames>
    <definedName name="_">#N/A</definedName>
    <definedName name="___________________a1" localSheetId="3" hidden="1">{"'Sheet1'!$L$16"}</definedName>
    <definedName name="___________________a1" localSheetId="9" hidden="1">{"'Sheet1'!$L$16"}</definedName>
    <definedName name="___________________a1" hidden="1">{"'Sheet1'!$L$16"}</definedName>
    <definedName name="___________________h1" localSheetId="3" hidden="1">{"'Sheet1'!$L$16"}</definedName>
    <definedName name="___________________h1" localSheetId="9" hidden="1">{"'Sheet1'!$L$16"}</definedName>
    <definedName name="___________________h1" hidden="1">{"'Sheet1'!$L$16"}</definedName>
    <definedName name="__________________a1" localSheetId="3" hidden="1">{"'Sheet1'!$L$16"}</definedName>
    <definedName name="__________________a1" localSheetId="9" hidden="1">{"'Sheet1'!$L$16"}</definedName>
    <definedName name="__________________a1" hidden="1">{"'Sheet1'!$L$16"}</definedName>
    <definedName name="__________________h1" localSheetId="3" hidden="1">{"'Sheet1'!$L$16"}</definedName>
    <definedName name="__________________h1" localSheetId="9" hidden="1">{"'Sheet1'!$L$16"}</definedName>
    <definedName name="__________________h1" hidden="1">{"'Sheet1'!$L$16"}</definedName>
    <definedName name="_________________a1" localSheetId="3" hidden="1">{"'Sheet1'!$L$16"}</definedName>
    <definedName name="_________________a1" localSheetId="9" hidden="1">{"'Sheet1'!$L$16"}</definedName>
    <definedName name="_________________a1" hidden="1">{"'Sheet1'!$L$16"}</definedName>
    <definedName name="_________________h1" localSheetId="3" hidden="1">{"'Sheet1'!$L$16"}</definedName>
    <definedName name="_________________h1" localSheetId="9" hidden="1">{"'Sheet1'!$L$16"}</definedName>
    <definedName name="_________________h1" hidden="1">{"'Sheet1'!$L$16"}</definedName>
    <definedName name="_________________h2" localSheetId="3" hidden="1">{"'Sheet1'!$L$16"}</definedName>
    <definedName name="_________________h2" localSheetId="9" hidden="1">{"'Sheet1'!$L$16"}</definedName>
    <definedName name="_________________h2" hidden="1">{"'Sheet1'!$L$16"}</definedName>
    <definedName name="_________________PA3" localSheetId="3" hidden="1">{"'Sheet1'!$L$16"}</definedName>
    <definedName name="_________________PA3" localSheetId="9" hidden="1">{"'Sheet1'!$L$16"}</definedName>
    <definedName name="_________________PA3" hidden="1">{"'Sheet1'!$L$16"}</definedName>
    <definedName name="________________a1" localSheetId="3" hidden="1">{"'Sheet1'!$L$16"}</definedName>
    <definedName name="________________a1" localSheetId="9" hidden="1">{"'Sheet1'!$L$16"}</definedName>
    <definedName name="________________a1" hidden="1">{"'Sheet1'!$L$16"}</definedName>
    <definedName name="_______________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_________a129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_________a129" hidden="1">{"Offgrid",#N/A,FALSE,"OFFGRID";"Region",#N/A,FALSE,"REGION";"Offgrid -2",#N/A,FALSE,"OFFGRID";"WTP",#N/A,FALSE,"WTP";"WTP -2",#N/A,FALSE,"WTP";"Project",#N/A,FALSE,"PROJECT";"Summary -2",#N/A,FALSE,"SUMMARY"}</definedName>
    <definedName name="_______________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_________a130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_________a130" hidden="1">{"Offgrid",#N/A,FALSE,"OFFGRID";"Region",#N/A,FALSE,"REGION";"Offgrid -2",#N/A,FALSE,"OFFGRID";"WTP",#N/A,FALSE,"WTP";"WTP -2",#N/A,FALSE,"WTP";"Project",#N/A,FALSE,"PROJECT";"Summary -2",#N/A,FALSE,"SUMMARY"}</definedName>
    <definedName name="________________h1" localSheetId="3" hidden="1">{"'Sheet1'!$L$16"}</definedName>
    <definedName name="________________h1" localSheetId="9" hidden="1">{"'Sheet1'!$L$16"}</definedName>
    <definedName name="________________h1" hidden="1">{"'Sheet1'!$L$16"}</definedName>
    <definedName name="________________h2" localSheetId="3" hidden="1">{"'Sheet1'!$L$16"}</definedName>
    <definedName name="________________h2" localSheetId="9" hidden="1">{"'Sheet1'!$L$16"}</definedName>
    <definedName name="________________h2" hidden="1">{"'Sheet1'!$L$16"}</definedName>
    <definedName name="________________hu1" localSheetId="3" hidden="1">{"'Sheet1'!$L$16"}</definedName>
    <definedName name="________________hu1" localSheetId="9" hidden="1">{"'Sheet1'!$L$16"}</definedName>
    <definedName name="________________hu1" hidden="1">{"'Sheet1'!$L$16"}</definedName>
    <definedName name="________________hu2" localSheetId="3" hidden="1">{"'Sheet1'!$L$16"}</definedName>
    <definedName name="________________hu2" localSheetId="9" hidden="1">{"'Sheet1'!$L$16"}</definedName>
    <definedName name="________________hu2" hidden="1">{"'Sheet1'!$L$16"}</definedName>
    <definedName name="________________hu5" localSheetId="3" hidden="1">{"'Sheet1'!$L$16"}</definedName>
    <definedName name="________________hu5" localSheetId="9" hidden="1">{"'Sheet1'!$L$16"}</definedName>
    <definedName name="________________hu5" hidden="1">{"'Sheet1'!$L$16"}</definedName>
    <definedName name="________________hu6" localSheetId="3" hidden="1">{"'Sheet1'!$L$16"}</definedName>
    <definedName name="________________hu6" localSheetId="9" hidden="1">{"'Sheet1'!$L$16"}</definedName>
    <definedName name="________________hu6" hidden="1">{"'Sheet1'!$L$16"}</definedName>
    <definedName name="________________PA3" localSheetId="3" hidden="1">{"'Sheet1'!$L$16"}</definedName>
    <definedName name="________________PA3" localSheetId="9" hidden="1">{"'Sheet1'!$L$16"}</definedName>
    <definedName name="________________PA3" hidden="1">{"'Sheet1'!$L$16"}</definedName>
    <definedName name="_______________a1" localSheetId="3" hidden="1">{"'Sheet1'!$L$16"}</definedName>
    <definedName name="_______________a1" localSheetId="9" hidden="1">{"'Sheet1'!$L$16"}</definedName>
    <definedName name="_______________a1" hidden="1">{"'Sheet1'!$L$16"}</definedName>
    <definedName name="______________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________a129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________a129" hidden="1">{"Offgrid",#N/A,FALSE,"OFFGRID";"Region",#N/A,FALSE,"REGION";"Offgrid -2",#N/A,FALSE,"OFFGRID";"WTP",#N/A,FALSE,"WTP";"WTP -2",#N/A,FALSE,"WTP";"Project",#N/A,FALSE,"PROJECT";"Summary -2",#N/A,FALSE,"SUMMARY"}</definedName>
    <definedName name="______________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________a130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________a130" hidden="1">{"Offgrid",#N/A,FALSE,"OFFGRID";"Region",#N/A,FALSE,"REGION";"Offgrid -2",#N/A,FALSE,"OFFGRID";"WTP",#N/A,FALSE,"WTP";"WTP -2",#N/A,FALSE,"WTP";"Project",#N/A,FALSE,"PROJECT";"Summary -2",#N/A,FALSE,"SUMMARY"}</definedName>
    <definedName name="_______________h1" localSheetId="3" hidden="1">{"'Sheet1'!$L$16"}</definedName>
    <definedName name="_______________h1" localSheetId="9" hidden="1">{"'Sheet1'!$L$16"}</definedName>
    <definedName name="_______________h1" hidden="1">{"'Sheet1'!$L$16"}</definedName>
    <definedName name="_______________h2" localSheetId="3" hidden="1">{"'Sheet1'!$L$16"}</definedName>
    <definedName name="_______________h2" localSheetId="9" hidden="1">{"'Sheet1'!$L$16"}</definedName>
    <definedName name="_______________h2" hidden="1">{"'Sheet1'!$L$16"}</definedName>
    <definedName name="_______________hu1" localSheetId="3" hidden="1">{"'Sheet1'!$L$16"}</definedName>
    <definedName name="_______________hu1" localSheetId="9" hidden="1">{"'Sheet1'!$L$16"}</definedName>
    <definedName name="_______________hu1" hidden="1">{"'Sheet1'!$L$16"}</definedName>
    <definedName name="_______________hu2" localSheetId="3" hidden="1">{"'Sheet1'!$L$16"}</definedName>
    <definedName name="_______________hu2" localSheetId="9" hidden="1">{"'Sheet1'!$L$16"}</definedName>
    <definedName name="_______________hu2" hidden="1">{"'Sheet1'!$L$16"}</definedName>
    <definedName name="_______________hu5" localSheetId="3" hidden="1">{"'Sheet1'!$L$16"}</definedName>
    <definedName name="_______________hu5" localSheetId="9" hidden="1">{"'Sheet1'!$L$16"}</definedName>
    <definedName name="_______________hu5" hidden="1">{"'Sheet1'!$L$16"}</definedName>
    <definedName name="_______________hu6" localSheetId="3" hidden="1">{"'Sheet1'!$L$16"}</definedName>
    <definedName name="_______________hu6" localSheetId="9" hidden="1">{"'Sheet1'!$L$16"}</definedName>
    <definedName name="_______________hu6" hidden="1">{"'Sheet1'!$L$16"}</definedName>
    <definedName name="_______________PA3" localSheetId="3" hidden="1">{"'Sheet1'!$L$16"}</definedName>
    <definedName name="_______________PA3" localSheetId="9" hidden="1">{"'Sheet1'!$L$16"}</definedName>
    <definedName name="_______________PA3" hidden="1">{"'Sheet1'!$L$16"}</definedName>
    <definedName name="______________a1" localSheetId="3" hidden="1">{"'Sheet1'!$L$16"}</definedName>
    <definedName name="______________a1" localSheetId="9" hidden="1">{"'Sheet1'!$L$16"}</definedName>
    <definedName name="______________a1" hidden="1">{"'Sheet1'!$L$16"}</definedName>
    <definedName name="_____________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_______a129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_______a129" hidden="1">{"Offgrid",#N/A,FALSE,"OFFGRID";"Region",#N/A,FALSE,"REGION";"Offgrid -2",#N/A,FALSE,"OFFGRID";"WTP",#N/A,FALSE,"WTP";"WTP -2",#N/A,FALSE,"WTP";"Project",#N/A,FALSE,"PROJECT";"Summary -2",#N/A,FALSE,"SUMMARY"}</definedName>
    <definedName name="_____________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_______a130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_______a130" hidden="1">{"Offgrid",#N/A,FALSE,"OFFGRID";"Region",#N/A,FALSE,"REGION";"Offgrid -2",#N/A,FALSE,"OFFGRID";"WTP",#N/A,FALSE,"WTP";"WTP -2",#N/A,FALSE,"WTP";"Project",#N/A,FALSE,"PROJECT";"Summary -2",#N/A,FALSE,"SUMMARY"}</definedName>
    <definedName name="______________h1" localSheetId="3" hidden="1">{"'Sheet1'!$L$16"}</definedName>
    <definedName name="______________h1" localSheetId="9" hidden="1">{"'Sheet1'!$L$16"}</definedName>
    <definedName name="______________h1" hidden="1">{"'Sheet1'!$L$16"}</definedName>
    <definedName name="______________h2" localSheetId="3" hidden="1">{"'Sheet1'!$L$16"}</definedName>
    <definedName name="______________h2" localSheetId="9" hidden="1">{"'Sheet1'!$L$16"}</definedName>
    <definedName name="______________h2" hidden="1">{"'Sheet1'!$L$16"}</definedName>
    <definedName name="______________hu1" localSheetId="3" hidden="1">{"'Sheet1'!$L$16"}</definedName>
    <definedName name="______________hu1" localSheetId="9" hidden="1">{"'Sheet1'!$L$16"}</definedName>
    <definedName name="______________hu1" hidden="1">{"'Sheet1'!$L$16"}</definedName>
    <definedName name="______________hu2" localSheetId="3" hidden="1">{"'Sheet1'!$L$16"}</definedName>
    <definedName name="______________hu2" localSheetId="9" hidden="1">{"'Sheet1'!$L$16"}</definedName>
    <definedName name="______________hu2" hidden="1">{"'Sheet1'!$L$16"}</definedName>
    <definedName name="______________hu5" localSheetId="3" hidden="1">{"'Sheet1'!$L$16"}</definedName>
    <definedName name="______________hu5" localSheetId="9" hidden="1">{"'Sheet1'!$L$16"}</definedName>
    <definedName name="______________hu5" hidden="1">{"'Sheet1'!$L$16"}</definedName>
    <definedName name="______________hu6" localSheetId="3" hidden="1">{"'Sheet1'!$L$16"}</definedName>
    <definedName name="______________hu6" localSheetId="9" hidden="1">{"'Sheet1'!$L$16"}</definedName>
    <definedName name="______________hu6" hidden="1">{"'Sheet1'!$L$16"}</definedName>
    <definedName name="______________PA3" localSheetId="3" hidden="1">{"'Sheet1'!$L$16"}</definedName>
    <definedName name="______________PA3" localSheetId="9" hidden="1">{"'Sheet1'!$L$16"}</definedName>
    <definedName name="______________PA3" hidden="1">{"'Sheet1'!$L$16"}</definedName>
    <definedName name="_____________a1" localSheetId="3" hidden="1">{"'Sheet1'!$L$16"}</definedName>
    <definedName name="_____________a1" localSheetId="9" hidden="1">{"'Sheet1'!$L$16"}</definedName>
    <definedName name="_____________a1" hidden="1">{"'Sheet1'!$L$16"}</definedName>
    <definedName name="____________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______a129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______a129" hidden="1">{"Offgrid",#N/A,FALSE,"OFFGRID";"Region",#N/A,FALSE,"REGION";"Offgrid -2",#N/A,FALSE,"OFFGRID";"WTP",#N/A,FALSE,"WTP";"WTP -2",#N/A,FALSE,"WTP";"Project",#N/A,FALSE,"PROJECT";"Summary -2",#N/A,FALSE,"SUMMARY"}</definedName>
    <definedName name="____________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______a130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______a130" hidden="1">{"Offgrid",#N/A,FALSE,"OFFGRID";"Region",#N/A,FALSE,"REGION";"Offgrid -2",#N/A,FALSE,"OFFGRID";"WTP",#N/A,FALSE,"WTP";"WTP -2",#N/A,FALSE,"WTP";"Project",#N/A,FALSE,"PROJECT";"Summary -2",#N/A,FALSE,"SUMMARY"}</definedName>
    <definedName name="_____________h1" localSheetId="3" hidden="1">{"'Sheet1'!$L$16"}</definedName>
    <definedName name="_____________h1" localSheetId="9" hidden="1">{"'Sheet1'!$L$16"}</definedName>
    <definedName name="_____________h1" hidden="1">{"'Sheet1'!$L$16"}</definedName>
    <definedName name="_____________h2" localSheetId="3" hidden="1">{"'Sheet1'!$L$16"}</definedName>
    <definedName name="_____________h2" localSheetId="9" hidden="1">{"'Sheet1'!$L$16"}</definedName>
    <definedName name="_____________h2" hidden="1">{"'Sheet1'!$L$16"}</definedName>
    <definedName name="_____________hu1" localSheetId="3" hidden="1">{"'Sheet1'!$L$16"}</definedName>
    <definedName name="_____________hu1" localSheetId="9" hidden="1">{"'Sheet1'!$L$16"}</definedName>
    <definedName name="_____________hu1" hidden="1">{"'Sheet1'!$L$16"}</definedName>
    <definedName name="_____________hu2" localSheetId="3" hidden="1">{"'Sheet1'!$L$16"}</definedName>
    <definedName name="_____________hu2" localSheetId="9" hidden="1">{"'Sheet1'!$L$16"}</definedName>
    <definedName name="_____________hu2" hidden="1">{"'Sheet1'!$L$16"}</definedName>
    <definedName name="_____________hu5" localSheetId="3" hidden="1">{"'Sheet1'!$L$16"}</definedName>
    <definedName name="_____________hu5" localSheetId="9" hidden="1">{"'Sheet1'!$L$16"}</definedName>
    <definedName name="_____________hu5" hidden="1">{"'Sheet1'!$L$16"}</definedName>
    <definedName name="_____________hu6" localSheetId="3" hidden="1">{"'Sheet1'!$L$16"}</definedName>
    <definedName name="_____________hu6" localSheetId="9" hidden="1">{"'Sheet1'!$L$16"}</definedName>
    <definedName name="_____________hu6" hidden="1">{"'Sheet1'!$L$16"}</definedName>
    <definedName name="_____________hu7" localSheetId="3" hidden="1">{"'Sheet1'!$L$16"}</definedName>
    <definedName name="_____________hu7" localSheetId="9" hidden="1">{"'Sheet1'!$L$16"}</definedName>
    <definedName name="_____________hu7" hidden="1">{"'Sheet1'!$L$16"}</definedName>
    <definedName name="_____________PA3" localSheetId="3" hidden="1">{"'Sheet1'!$L$16"}</definedName>
    <definedName name="_____________PA3" localSheetId="9" hidden="1">{"'Sheet1'!$L$16"}</definedName>
    <definedName name="_____________PA3" hidden="1">{"'Sheet1'!$L$16"}</definedName>
    <definedName name="_____________T10" localSheetId="3" hidden="1">{"'Sheet1'!$L$16"}</definedName>
    <definedName name="_____________T10" localSheetId="9" hidden="1">{"'Sheet1'!$L$16"}</definedName>
    <definedName name="_____________T10" hidden="1">{"'Sheet1'!$L$16"}</definedName>
    <definedName name="_____________tb2" localSheetId="3" hidden="1">{"'Sheet1'!$L$16"}</definedName>
    <definedName name="_____________tb2" localSheetId="9" hidden="1">{"'Sheet1'!$L$16"}</definedName>
    <definedName name="_____________tb2" hidden="1">{"'Sheet1'!$L$16"}</definedName>
    <definedName name="____________a1" localSheetId="3" hidden="1">{"'Sheet1'!$L$16"}</definedName>
    <definedName name="____________a1" localSheetId="9" hidden="1">{"'Sheet1'!$L$16"}</definedName>
    <definedName name="____________a1" hidden="1">{"'Sheet1'!$L$16"}</definedName>
    <definedName name="___________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_____a129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_____a129" hidden="1">{"Offgrid",#N/A,FALSE,"OFFGRID";"Region",#N/A,FALSE,"REGION";"Offgrid -2",#N/A,FALSE,"OFFGRID";"WTP",#N/A,FALSE,"WTP";"WTP -2",#N/A,FALSE,"WTP";"Project",#N/A,FALSE,"PROJECT";"Summary -2",#N/A,FALSE,"SUMMARY"}</definedName>
    <definedName name="___________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_____a130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_____a130" hidden="1">{"Offgrid",#N/A,FALSE,"OFFGRID";"Region",#N/A,FALSE,"REGION";"Offgrid -2",#N/A,FALSE,"OFFGRID";"WTP",#N/A,FALSE,"WTP";"WTP -2",#N/A,FALSE,"WTP";"Project",#N/A,FALSE,"PROJECT";"Summary -2",#N/A,FALSE,"SUMMARY"}</definedName>
    <definedName name="____________h1" localSheetId="3" hidden="1">{"'Sheet1'!$L$16"}</definedName>
    <definedName name="____________h1" localSheetId="9" hidden="1">{"'Sheet1'!$L$16"}</definedName>
    <definedName name="____________h1" hidden="1">{"'Sheet1'!$L$16"}</definedName>
    <definedName name="____________h2" localSheetId="3" hidden="1">{"'Sheet1'!$L$16"}</definedName>
    <definedName name="____________h2" localSheetId="9" hidden="1">{"'Sheet1'!$L$16"}</definedName>
    <definedName name="____________h2" hidden="1">{"'Sheet1'!$L$16"}</definedName>
    <definedName name="____________hu1" localSheetId="3" hidden="1">{"'Sheet1'!$L$16"}</definedName>
    <definedName name="____________hu1" localSheetId="9" hidden="1">{"'Sheet1'!$L$16"}</definedName>
    <definedName name="____________hu1" hidden="1">{"'Sheet1'!$L$16"}</definedName>
    <definedName name="____________hu2" localSheetId="3" hidden="1">{"'Sheet1'!$L$16"}</definedName>
    <definedName name="____________hu2" localSheetId="9" hidden="1">{"'Sheet1'!$L$16"}</definedName>
    <definedName name="____________hu2" hidden="1">{"'Sheet1'!$L$16"}</definedName>
    <definedName name="____________hu5" localSheetId="3" hidden="1">{"'Sheet1'!$L$16"}</definedName>
    <definedName name="____________hu5" localSheetId="9" hidden="1">{"'Sheet1'!$L$16"}</definedName>
    <definedName name="____________hu5" hidden="1">{"'Sheet1'!$L$16"}</definedName>
    <definedName name="____________hu6" localSheetId="3" hidden="1">{"'Sheet1'!$L$16"}</definedName>
    <definedName name="____________hu6" localSheetId="9" hidden="1">{"'Sheet1'!$L$16"}</definedName>
    <definedName name="____________hu6" hidden="1">{"'Sheet1'!$L$16"}</definedName>
    <definedName name="____________hu7" localSheetId="3" hidden="1">{"'Sheet1'!$L$16"}</definedName>
    <definedName name="____________hu7" localSheetId="9" hidden="1">{"'Sheet1'!$L$16"}</definedName>
    <definedName name="____________hu7" hidden="1">{"'Sheet1'!$L$16"}</definedName>
    <definedName name="____________PA3" localSheetId="3" hidden="1">{"'Sheet1'!$L$16"}</definedName>
    <definedName name="____________PA3" localSheetId="9" hidden="1">{"'Sheet1'!$L$16"}</definedName>
    <definedName name="____________PA3" hidden="1">{"'Sheet1'!$L$16"}</definedName>
    <definedName name="____________T10" localSheetId="3" hidden="1">{"'Sheet1'!$L$16"}</definedName>
    <definedName name="____________T10" localSheetId="9" hidden="1">{"'Sheet1'!$L$16"}</definedName>
    <definedName name="____________T10" hidden="1">{"'Sheet1'!$L$16"}</definedName>
    <definedName name="____________tb2" localSheetId="3" hidden="1">{"'Sheet1'!$L$16"}</definedName>
    <definedName name="____________tb2" localSheetId="9" hidden="1">{"'Sheet1'!$L$16"}</definedName>
    <definedName name="____________tb2" hidden="1">{"'Sheet1'!$L$16"}</definedName>
    <definedName name="___________a1" localSheetId="3" hidden="1">{"'Sheet1'!$L$16"}</definedName>
    <definedName name="___________a1" localSheetId="9" hidden="1">{"'Sheet1'!$L$16"}</definedName>
    <definedName name="___________a1" hidden="1">{"'Sheet1'!$L$16"}</definedName>
    <definedName name="__________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____a129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____a129" hidden="1">{"Offgrid",#N/A,FALSE,"OFFGRID";"Region",#N/A,FALSE,"REGION";"Offgrid -2",#N/A,FALSE,"OFFGRID";"WTP",#N/A,FALSE,"WTP";"WTP -2",#N/A,FALSE,"WTP";"Project",#N/A,FALSE,"PROJECT";"Summary -2",#N/A,FALSE,"SUMMARY"}</definedName>
    <definedName name="__________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____a130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____a130" hidden="1">{"Offgrid",#N/A,FALSE,"OFFGRID";"Region",#N/A,FALSE,"REGION";"Offgrid -2",#N/A,FALSE,"OFFGRID";"WTP",#N/A,FALSE,"WTP";"WTP -2",#N/A,FALSE,"WTP";"Project",#N/A,FALSE,"PROJECT";"Summary -2",#N/A,FALSE,"SUMMARY"}</definedName>
    <definedName name="___________a2" localSheetId="3" hidden="1">{"'Sheet1'!$L$16"}</definedName>
    <definedName name="___________a2" localSheetId="9" hidden="1">{"'Sheet1'!$L$16"}</definedName>
    <definedName name="___________a2" hidden="1">{"'Sheet1'!$L$16"}</definedName>
    <definedName name="___________a3" localSheetId="3" hidden="1">{"'Sheet1'!$L$16"}</definedName>
    <definedName name="___________a3" localSheetId="9" hidden="1">{"'Sheet1'!$L$16"}</definedName>
    <definedName name="___________a3" hidden="1">{"'Sheet1'!$L$16"}</definedName>
    <definedName name="___________d1500" localSheetId="3" hidden="1">{"'Sheet1'!$L$16"}</definedName>
    <definedName name="___________d1500" localSheetId="9" hidden="1">{"'Sheet1'!$L$16"}</definedName>
    <definedName name="___________d1500" hidden="1">{"'Sheet1'!$L$16"}</definedName>
    <definedName name="___________d1600" localSheetId="3" hidden="1">{"'Sheet1'!$L$16"}</definedName>
    <definedName name="___________d1600" localSheetId="9" hidden="1">{"'Sheet1'!$L$16"}</definedName>
    <definedName name="___________d1600" hidden="1">{"'Sheet1'!$L$16"}</definedName>
    <definedName name="___________go8" localSheetId="3" hidden="1">{"'Sheet1'!$L$16"}</definedName>
    <definedName name="___________go8" localSheetId="9" hidden="1">{"'Sheet1'!$L$16"}</definedName>
    <definedName name="___________go8" hidden="1">{"'Sheet1'!$L$16"}</definedName>
    <definedName name="___________Goi8" localSheetId="3" hidden="1">{"'Sheet1'!$L$16"}</definedName>
    <definedName name="___________Goi8" localSheetId="9" hidden="1">{"'Sheet1'!$L$16"}</definedName>
    <definedName name="___________Goi8" hidden="1">{"'Sheet1'!$L$16"}</definedName>
    <definedName name="___________h1" localSheetId="3" hidden="1">{"'Sheet1'!$L$16"}</definedName>
    <definedName name="___________h1" localSheetId="9" hidden="1">{"'Sheet1'!$L$16"}</definedName>
    <definedName name="___________h1" hidden="1">{"'Sheet1'!$L$16"}</definedName>
    <definedName name="___________h2" localSheetId="3" hidden="1">{"'Sheet1'!$L$16"}</definedName>
    <definedName name="___________h2" localSheetId="9" hidden="1">{"'Sheet1'!$L$16"}</definedName>
    <definedName name="___________h2" hidden="1">{"'Sheet1'!$L$16"}</definedName>
    <definedName name="___________hu1" localSheetId="3" hidden="1">{"'Sheet1'!$L$16"}</definedName>
    <definedName name="___________hu1" localSheetId="9" hidden="1">{"'Sheet1'!$L$16"}</definedName>
    <definedName name="___________hu1" hidden="1">{"'Sheet1'!$L$16"}</definedName>
    <definedName name="___________hu2" localSheetId="3" hidden="1">{"'Sheet1'!$L$16"}</definedName>
    <definedName name="___________hu2" localSheetId="9" hidden="1">{"'Sheet1'!$L$16"}</definedName>
    <definedName name="___________hu2" hidden="1">{"'Sheet1'!$L$16"}</definedName>
    <definedName name="___________hu5" localSheetId="3" hidden="1">{"'Sheet1'!$L$16"}</definedName>
    <definedName name="___________hu5" localSheetId="9" hidden="1">{"'Sheet1'!$L$16"}</definedName>
    <definedName name="___________hu5" hidden="1">{"'Sheet1'!$L$16"}</definedName>
    <definedName name="___________hu6" localSheetId="3" hidden="1">{"'Sheet1'!$L$16"}</definedName>
    <definedName name="___________hu6" localSheetId="9" hidden="1">{"'Sheet1'!$L$16"}</definedName>
    <definedName name="___________hu6" hidden="1">{"'Sheet1'!$L$16"}</definedName>
    <definedName name="___________hu7" localSheetId="3" hidden="1">{"'Sheet1'!$L$16"}</definedName>
    <definedName name="___________hu7" localSheetId="9" hidden="1">{"'Sheet1'!$L$16"}</definedName>
    <definedName name="___________hu7" hidden="1">{"'Sheet1'!$L$16"}</definedName>
    <definedName name="___________KCM1" localSheetId="3" hidden="1">{"'Sheet1'!$L$16"}</definedName>
    <definedName name="___________KCM1" localSheetId="9" hidden="1">{"'Sheet1'!$L$16"}</definedName>
    <definedName name="___________KCM1" hidden="1">{"'Sheet1'!$L$16"}</definedName>
    <definedName name="___________Lan1" localSheetId="3" hidden="1">{"'Sheet1'!$L$16"}</definedName>
    <definedName name="___________Lan1" localSheetId="9" hidden="1">{"'Sheet1'!$L$16"}</definedName>
    <definedName name="___________Lan1" hidden="1">{"'Sheet1'!$L$16"}</definedName>
    <definedName name="___________LAN3" localSheetId="3" hidden="1">{"'Sheet1'!$L$16"}</definedName>
    <definedName name="___________LAN3" localSheetId="9" hidden="1">{"'Sheet1'!$L$16"}</definedName>
    <definedName name="___________LAN3" hidden="1">{"'Sheet1'!$L$16"}</definedName>
    <definedName name="___________PA3" localSheetId="3" hidden="1">{"'Sheet1'!$L$16"}</definedName>
    <definedName name="___________PA3" localSheetId="9" hidden="1">{"'Sheet1'!$L$16"}</definedName>
    <definedName name="___________PA3" hidden="1">{"'Sheet1'!$L$16"}</definedName>
    <definedName name="___________T10" localSheetId="3" hidden="1">{"'Sheet1'!$L$16"}</definedName>
    <definedName name="___________T10" localSheetId="9" hidden="1">{"'Sheet1'!$L$16"}</definedName>
    <definedName name="___________T10" hidden="1">{"'Sheet1'!$L$16"}</definedName>
    <definedName name="___________tb2" localSheetId="3" hidden="1">{"'Sheet1'!$L$16"}</definedName>
    <definedName name="___________tb2" localSheetId="9" hidden="1">{"'Sheet1'!$L$16"}</definedName>
    <definedName name="___________tb2" hidden="1">{"'Sheet1'!$L$16"}</definedName>
    <definedName name="___________TM2" localSheetId="3" hidden="1">{"'Sheet1'!$L$16"}</definedName>
    <definedName name="___________TM2" localSheetId="9" hidden="1">{"'Sheet1'!$L$16"}</definedName>
    <definedName name="___________TM2" hidden="1">{"'Sheet1'!$L$16"}</definedName>
    <definedName name="___________tt3" localSheetId="3" hidden="1">{"'Sheet1'!$L$16"}</definedName>
    <definedName name="___________tt3" localSheetId="9" hidden="1">{"'Sheet1'!$L$16"}</definedName>
    <definedName name="___________tt3" hidden="1">{"'Sheet1'!$L$16"}</definedName>
    <definedName name="__________a1" localSheetId="3" hidden="1">{"'Sheet1'!$L$16"}</definedName>
    <definedName name="__________a1" localSheetId="9" hidden="1">{"'Sheet1'!$L$16"}</definedName>
    <definedName name="__________a1" hidden="1">{"'Sheet1'!$L$16"}</definedName>
    <definedName name="_________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___a129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___a129" hidden="1">{"Offgrid",#N/A,FALSE,"OFFGRID";"Region",#N/A,FALSE,"REGION";"Offgrid -2",#N/A,FALSE,"OFFGRID";"WTP",#N/A,FALSE,"WTP";"WTP -2",#N/A,FALSE,"WTP";"Project",#N/A,FALSE,"PROJECT";"Summary -2",#N/A,FALSE,"SUMMARY"}</definedName>
    <definedName name="_________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___a130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___a130" hidden="1">{"Offgrid",#N/A,FALSE,"OFFGRID";"Region",#N/A,FALSE,"REGION";"Offgrid -2",#N/A,FALSE,"OFFGRID";"WTP",#N/A,FALSE,"WTP";"WTP -2",#N/A,FALSE,"WTP";"Project",#N/A,FALSE,"PROJECT";"Summary -2",#N/A,FALSE,"SUMMARY"}</definedName>
    <definedName name="__________a2" localSheetId="3" hidden="1">{"'Sheet1'!$L$16"}</definedName>
    <definedName name="__________a2" localSheetId="9" hidden="1">{"'Sheet1'!$L$16"}</definedName>
    <definedName name="__________a2" hidden="1">{"'Sheet1'!$L$16"}</definedName>
    <definedName name="__________a3" localSheetId="3" hidden="1">{"'Sheet1'!$L$16"}</definedName>
    <definedName name="__________a3" localSheetId="9" hidden="1">{"'Sheet1'!$L$16"}</definedName>
    <definedName name="__________a3" hidden="1">{"'Sheet1'!$L$16"}</definedName>
    <definedName name="__________d1500" localSheetId="3" hidden="1">{"'Sheet1'!$L$16"}</definedName>
    <definedName name="__________d1500" localSheetId="9" hidden="1">{"'Sheet1'!$L$16"}</definedName>
    <definedName name="__________d1500" hidden="1">{"'Sheet1'!$L$16"}</definedName>
    <definedName name="__________d1600" localSheetId="3" hidden="1">{"'Sheet1'!$L$16"}</definedName>
    <definedName name="__________d1600" localSheetId="9" hidden="1">{"'Sheet1'!$L$16"}</definedName>
    <definedName name="__________d1600" hidden="1">{"'Sheet1'!$L$16"}</definedName>
    <definedName name="__________go8" localSheetId="3" hidden="1">{"'Sheet1'!$L$16"}</definedName>
    <definedName name="__________go8" localSheetId="9" hidden="1">{"'Sheet1'!$L$16"}</definedName>
    <definedName name="__________go8" hidden="1">{"'Sheet1'!$L$16"}</definedName>
    <definedName name="__________Goi8" localSheetId="3" hidden="1">{"'Sheet1'!$L$16"}</definedName>
    <definedName name="__________Goi8" localSheetId="9" hidden="1">{"'Sheet1'!$L$16"}</definedName>
    <definedName name="__________Goi8" hidden="1">{"'Sheet1'!$L$16"}</definedName>
    <definedName name="__________h1" localSheetId="3" hidden="1">{"'Sheet1'!$L$16"}</definedName>
    <definedName name="__________h1" localSheetId="9" hidden="1">{"'Sheet1'!$L$16"}</definedName>
    <definedName name="__________h1" hidden="1">{"'Sheet1'!$L$16"}</definedName>
    <definedName name="__________h10" localSheetId="3" hidden="1">{#N/A,#N/A,FALSE,"Chi tiÆt"}</definedName>
    <definedName name="__________h10" localSheetId="9" hidden="1">{#N/A,#N/A,FALSE,"Chi tiÆt"}</definedName>
    <definedName name="__________h10" hidden="1">{#N/A,#N/A,FALSE,"Chi tiÆt"}</definedName>
    <definedName name="__________h2" localSheetId="3" hidden="1">{"'Sheet1'!$L$16"}</definedName>
    <definedName name="__________h2" localSheetId="9" hidden="1">{"'Sheet1'!$L$16"}</definedName>
    <definedName name="__________h2" hidden="1">{"'Sheet1'!$L$16"}</definedName>
    <definedName name="__________h3" localSheetId="3" hidden="1">{"'Sheet1'!$L$16"}</definedName>
    <definedName name="__________h3" localSheetId="9" hidden="1">{"'Sheet1'!$L$16"}</definedName>
    <definedName name="__________h3" hidden="1">{"'Sheet1'!$L$16"}</definedName>
    <definedName name="__________h5" localSheetId="3" hidden="1">{"'Sheet1'!$L$16"}</definedName>
    <definedName name="__________h5" localSheetId="9" hidden="1">{"'Sheet1'!$L$16"}</definedName>
    <definedName name="__________h5" hidden="1">{"'Sheet1'!$L$16"}</definedName>
    <definedName name="__________h6" localSheetId="3" hidden="1">{"'Sheet1'!$L$16"}</definedName>
    <definedName name="__________h6" localSheetId="9" hidden="1">{"'Sheet1'!$L$16"}</definedName>
    <definedName name="__________h6" hidden="1">{"'Sheet1'!$L$16"}</definedName>
    <definedName name="__________h7" localSheetId="3" hidden="1">{"'Sheet1'!$L$16"}</definedName>
    <definedName name="__________h7" localSheetId="9" hidden="1">{"'Sheet1'!$L$16"}</definedName>
    <definedName name="__________h7" hidden="1">{"'Sheet1'!$L$16"}</definedName>
    <definedName name="__________h8" localSheetId="3" hidden="1">{"'Sheet1'!$L$16"}</definedName>
    <definedName name="__________h8" localSheetId="9" hidden="1">{"'Sheet1'!$L$16"}</definedName>
    <definedName name="__________h8" hidden="1">{"'Sheet1'!$L$16"}</definedName>
    <definedName name="__________h9" localSheetId="3" hidden="1">{"'Sheet1'!$L$16"}</definedName>
    <definedName name="__________h9" localSheetId="9" hidden="1">{"'Sheet1'!$L$16"}</definedName>
    <definedName name="__________h9" hidden="1">{"'Sheet1'!$L$16"}</definedName>
    <definedName name="__________hu1" localSheetId="3" hidden="1">{"'Sheet1'!$L$16"}</definedName>
    <definedName name="__________hu1" localSheetId="9" hidden="1">{"'Sheet1'!$L$16"}</definedName>
    <definedName name="__________hu1" hidden="1">{"'Sheet1'!$L$16"}</definedName>
    <definedName name="__________hu2" localSheetId="3" hidden="1">{"'Sheet1'!$L$16"}</definedName>
    <definedName name="__________hu2" localSheetId="9" hidden="1">{"'Sheet1'!$L$16"}</definedName>
    <definedName name="__________hu2" hidden="1">{"'Sheet1'!$L$16"}</definedName>
    <definedName name="__________hu5" localSheetId="3" hidden="1">{"'Sheet1'!$L$16"}</definedName>
    <definedName name="__________hu5" localSheetId="9" hidden="1">{"'Sheet1'!$L$16"}</definedName>
    <definedName name="__________hu5" hidden="1">{"'Sheet1'!$L$16"}</definedName>
    <definedName name="__________hu6" localSheetId="3" hidden="1">{"'Sheet1'!$L$16"}</definedName>
    <definedName name="__________hu6" localSheetId="9" hidden="1">{"'Sheet1'!$L$16"}</definedName>
    <definedName name="__________hu6" hidden="1">{"'Sheet1'!$L$16"}</definedName>
    <definedName name="__________hu7" localSheetId="3" hidden="1">{"'Sheet1'!$L$16"}</definedName>
    <definedName name="__________hu7" localSheetId="9" hidden="1">{"'Sheet1'!$L$16"}</definedName>
    <definedName name="__________hu7" hidden="1">{"'Sheet1'!$L$16"}</definedName>
    <definedName name="__________KCM1" localSheetId="3" hidden="1">{"'Sheet1'!$L$16"}</definedName>
    <definedName name="__________KCM1" localSheetId="9" hidden="1">{"'Sheet1'!$L$16"}</definedName>
    <definedName name="__________KCM1" hidden="1">{"'Sheet1'!$L$16"}</definedName>
    <definedName name="__________Lan1" localSheetId="3" hidden="1">{"'Sheet1'!$L$16"}</definedName>
    <definedName name="__________Lan1" localSheetId="9" hidden="1">{"'Sheet1'!$L$16"}</definedName>
    <definedName name="__________Lan1" hidden="1">{"'Sheet1'!$L$16"}</definedName>
    <definedName name="__________LAN3" localSheetId="3" hidden="1">{"'Sheet1'!$L$16"}</definedName>
    <definedName name="__________LAN3" localSheetId="9" hidden="1">{"'Sheet1'!$L$16"}</definedName>
    <definedName name="__________LAN3" hidden="1">{"'Sheet1'!$L$16"}</definedName>
    <definedName name="__________PA3" localSheetId="3" hidden="1">{"'Sheet1'!$L$16"}</definedName>
    <definedName name="__________PA3" localSheetId="9" hidden="1">{"'Sheet1'!$L$16"}</definedName>
    <definedName name="__________PA3" hidden="1">{"'Sheet1'!$L$16"}</definedName>
    <definedName name="__________T10" localSheetId="3" hidden="1">{"'Sheet1'!$L$16"}</definedName>
    <definedName name="__________T10" localSheetId="9" hidden="1">{"'Sheet1'!$L$16"}</definedName>
    <definedName name="__________T10" hidden="1">{"'Sheet1'!$L$16"}</definedName>
    <definedName name="__________tb2" localSheetId="3" hidden="1">{"'Sheet1'!$L$16"}</definedName>
    <definedName name="__________tb2" localSheetId="9" hidden="1">{"'Sheet1'!$L$16"}</definedName>
    <definedName name="__________tb2" hidden="1">{"'Sheet1'!$L$16"}</definedName>
    <definedName name="__________TM2" localSheetId="3" hidden="1">{"'Sheet1'!$L$16"}</definedName>
    <definedName name="__________TM2" localSheetId="9" hidden="1">{"'Sheet1'!$L$16"}</definedName>
    <definedName name="__________TM2" hidden="1">{"'Sheet1'!$L$16"}</definedName>
    <definedName name="__________tt3" localSheetId="3" hidden="1">{"'Sheet1'!$L$16"}</definedName>
    <definedName name="__________tt3" localSheetId="9" hidden="1">{"'Sheet1'!$L$16"}</definedName>
    <definedName name="__________tt3" hidden="1">{"'Sheet1'!$L$16"}</definedName>
    <definedName name="_________a1" localSheetId="3" hidden="1">{"'Sheet1'!$L$16"}</definedName>
    <definedName name="_________a1" localSheetId="9" hidden="1">{"'Sheet1'!$L$16"}</definedName>
    <definedName name="_________a1" hidden="1">{"'Sheet1'!$L$16"}</definedName>
    <definedName name="________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__a129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__a129" hidden="1">{"Offgrid",#N/A,FALSE,"OFFGRID";"Region",#N/A,FALSE,"REGION";"Offgrid -2",#N/A,FALSE,"OFFGRID";"WTP",#N/A,FALSE,"WTP";"WTP -2",#N/A,FALSE,"WTP";"Project",#N/A,FALSE,"PROJECT";"Summary -2",#N/A,FALSE,"SUMMARY"}</definedName>
    <definedName name="________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__a130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__a130" hidden="1">{"Offgrid",#N/A,FALSE,"OFFGRID";"Region",#N/A,FALSE,"REGION";"Offgrid -2",#N/A,FALSE,"OFFGRID";"WTP",#N/A,FALSE,"WTP";"WTP -2",#N/A,FALSE,"WTP";"Project",#N/A,FALSE,"PROJECT";"Summary -2",#N/A,FALSE,"SUMMARY"}</definedName>
    <definedName name="_________a2" localSheetId="3" hidden="1">{"'Sheet1'!$L$16"}</definedName>
    <definedName name="_________a2" localSheetId="9" hidden="1">{"'Sheet1'!$L$16"}</definedName>
    <definedName name="_________a2" hidden="1">{"'Sheet1'!$L$16"}</definedName>
    <definedName name="_________a3" localSheetId="3" hidden="1">{"'Sheet1'!$L$16"}</definedName>
    <definedName name="_________a3" localSheetId="9" hidden="1">{"'Sheet1'!$L$16"}</definedName>
    <definedName name="_________a3" hidden="1">{"'Sheet1'!$L$16"}</definedName>
    <definedName name="_________d1500" localSheetId="3" hidden="1">{"'Sheet1'!$L$16"}</definedName>
    <definedName name="_________d1500" localSheetId="9" hidden="1">{"'Sheet1'!$L$16"}</definedName>
    <definedName name="_________d1500" hidden="1">{"'Sheet1'!$L$16"}</definedName>
    <definedName name="_________d1600" localSheetId="3" hidden="1">{"'Sheet1'!$L$16"}</definedName>
    <definedName name="_________d1600" localSheetId="9" hidden="1">{"'Sheet1'!$L$16"}</definedName>
    <definedName name="_________d1600" hidden="1">{"'Sheet1'!$L$16"}</definedName>
    <definedName name="_________go8" localSheetId="3" hidden="1">{"'Sheet1'!$L$16"}</definedName>
    <definedName name="_________go8" localSheetId="9" hidden="1">{"'Sheet1'!$L$16"}</definedName>
    <definedName name="_________go8" hidden="1">{"'Sheet1'!$L$16"}</definedName>
    <definedName name="_________Goi8" localSheetId="3" hidden="1">{"'Sheet1'!$L$16"}</definedName>
    <definedName name="_________Goi8" localSheetId="9" hidden="1">{"'Sheet1'!$L$16"}</definedName>
    <definedName name="_________Goi8" hidden="1">{"'Sheet1'!$L$16"}</definedName>
    <definedName name="_________h1" localSheetId="3" hidden="1">{"'Sheet1'!$L$16"}</definedName>
    <definedName name="_________h1" localSheetId="9" hidden="1">{"'Sheet1'!$L$16"}</definedName>
    <definedName name="_________h1" hidden="1">{"'Sheet1'!$L$16"}</definedName>
    <definedName name="_________h10" localSheetId="3" hidden="1">{#N/A,#N/A,FALSE,"Chi tiÆt"}</definedName>
    <definedName name="_________h10" localSheetId="9" hidden="1">{#N/A,#N/A,FALSE,"Chi tiÆt"}</definedName>
    <definedName name="_________h10" hidden="1">{#N/A,#N/A,FALSE,"Chi tiÆt"}</definedName>
    <definedName name="_________h2" localSheetId="3" hidden="1">{"'Sheet1'!$L$16"}</definedName>
    <definedName name="_________h2" localSheetId="9" hidden="1">{"'Sheet1'!$L$16"}</definedName>
    <definedName name="_________h2" hidden="1">{"'Sheet1'!$L$16"}</definedName>
    <definedName name="_________h3" localSheetId="3" hidden="1">{"'Sheet1'!$L$16"}</definedName>
    <definedName name="_________h3" localSheetId="9" hidden="1">{"'Sheet1'!$L$16"}</definedName>
    <definedName name="_________h3" hidden="1">{"'Sheet1'!$L$16"}</definedName>
    <definedName name="_________h5" localSheetId="3" hidden="1">{"'Sheet1'!$L$16"}</definedName>
    <definedName name="_________h5" localSheetId="9" hidden="1">{"'Sheet1'!$L$16"}</definedName>
    <definedName name="_________h5" hidden="1">{"'Sheet1'!$L$16"}</definedName>
    <definedName name="_________h6" localSheetId="3" hidden="1">{"'Sheet1'!$L$16"}</definedName>
    <definedName name="_________h6" localSheetId="9" hidden="1">{"'Sheet1'!$L$16"}</definedName>
    <definedName name="_________h6" hidden="1">{"'Sheet1'!$L$16"}</definedName>
    <definedName name="_________h7" localSheetId="3" hidden="1">{"'Sheet1'!$L$16"}</definedName>
    <definedName name="_________h7" localSheetId="9" hidden="1">{"'Sheet1'!$L$16"}</definedName>
    <definedName name="_________h7" hidden="1">{"'Sheet1'!$L$16"}</definedName>
    <definedName name="_________h8" localSheetId="3" hidden="1">{"'Sheet1'!$L$16"}</definedName>
    <definedName name="_________h8" localSheetId="9" hidden="1">{"'Sheet1'!$L$16"}</definedName>
    <definedName name="_________h8" hidden="1">{"'Sheet1'!$L$16"}</definedName>
    <definedName name="_________h9" localSheetId="3" hidden="1">{"'Sheet1'!$L$16"}</definedName>
    <definedName name="_________h9" localSheetId="9" hidden="1">{"'Sheet1'!$L$16"}</definedName>
    <definedName name="_________h9" hidden="1">{"'Sheet1'!$L$16"}</definedName>
    <definedName name="_________hu1" localSheetId="3" hidden="1">{"'Sheet1'!$L$16"}</definedName>
    <definedName name="_________hu1" localSheetId="9" hidden="1">{"'Sheet1'!$L$16"}</definedName>
    <definedName name="_________hu1" hidden="1">{"'Sheet1'!$L$16"}</definedName>
    <definedName name="_________hu2" localSheetId="3" hidden="1">{"'Sheet1'!$L$16"}</definedName>
    <definedName name="_________hu2" localSheetId="9" hidden="1">{"'Sheet1'!$L$16"}</definedName>
    <definedName name="_________hu2" hidden="1">{"'Sheet1'!$L$16"}</definedName>
    <definedName name="_________hu5" localSheetId="3" hidden="1">{"'Sheet1'!$L$16"}</definedName>
    <definedName name="_________hu5" localSheetId="9" hidden="1">{"'Sheet1'!$L$16"}</definedName>
    <definedName name="_________hu5" hidden="1">{"'Sheet1'!$L$16"}</definedName>
    <definedName name="_________hu6" localSheetId="3" hidden="1">{"'Sheet1'!$L$16"}</definedName>
    <definedName name="_________hu6" localSheetId="9" hidden="1">{"'Sheet1'!$L$16"}</definedName>
    <definedName name="_________hu6" hidden="1">{"'Sheet1'!$L$16"}</definedName>
    <definedName name="_________hu7" localSheetId="3" hidden="1">{"'Sheet1'!$L$16"}</definedName>
    <definedName name="_________hu7" localSheetId="9" hidden="1">{"'Sheet1'!$L$16"}</definedName>
    <definedName name="_________hu7" hidden="1">{"'Sheet1'!$L$16"}</definedName>
    <definedName name="_________KCM1" localSheetId="3" hidden="1">{"'Sheet1'!$L$16"}</definedName>
    <definedName name="_________KCM1" localSheetId="9" hidden="1">{"'Sheet1'!$L$16"}</definedName>
    <definedName name="_________KCM1" hidden="1">{"'Sheet1'!$L$16"}</definedName>
    <definedName name="_________Lan1" localSheetId="3" hidden="1">{"'Sheet1'!$L$16"}</definedName>
    <definedName name="_________Lan1" localSheetId="9" hidden="1">{"'Sheet1'!$L$16"}</definedName>
    <definedName name="_________Lan1" hidden="1">{"'Sheet1'!$L$16"}</definedName>
    <definedName name="_________LAN3" localSheetId="3" hidden="1">{"'Sheet1'!$L$16"}</definedName>
    <definedName name="_________LAN3" localSheetId="9" hidden="1">{"'Sheet1'!$L$16"}</definedName>
    <definedName name="_________LAN3" hidden="1">{"'Sheet1'!$L$16"}</definedName>
    <definedName name="_________PA3" localSheetId="3" hidden="1">{"'Sheet1'!$L$16"}</definedName>
    <definedName name="_________PA3" localSheetId="9" hidden="1">{"'Sheet1'!$L$16"}</definedName>
    <definedName name="_________PA3" hidden="1">{"'Sheet1'!$L$16"}</definedName>
    <definedName name="_________T10" localSheetId="3" hidden="1">{"'Sheet1'!$L$16"}</definedName>
    <definedName name="_________T10" localSheetId="9" hidden="1">{"'Sheet1'!$L$16"}</definedName>
    <definedName name="_________T10" hidden="1">{"'Sheet1'!$L$16"}</definedName>
    <definedName name="_________tb2" localSheetId="3" hidden="1">{"'Sheet1'!$L$16"}</definedName>
    <definedName name="_________tb2" localSheetId="9" hidden="1">{"'Sheet1'!$L$16"}</definedName>
    <definedName name="_________tb2" hidden="1">{"'Sheet1'!$L$16"}</definedName>
    <definedName name="_________TM2" localSheetId="3" hidden="1">{"'Sheet1'!$L$16"}</definedName>
    <definedName name="_________TM2" localSheetId="9" hidden="1">{"'Sheet1'!$L$16"}</definedName>
    <definedName name="_________TM2" hidden="1">{"'Sheet1'!$L$16"}</definedName>
    <definedName name="_________tt3" localSheetId="3" hidden="1">{"'Sheet1'!$L$16"}</definedName>
    <definedName name="_________tt3" localSheetId="9" hidden="1">{"'Sheet1'!$L$16"}</definedName>
    <definedName name="_________tt3" hidden="1">{"'Sheet1'!$L$16"}</definedName>
    <definedName name="________a1" localSheetId="3" hidden="1">{"'Sheet1'!$L$16"}</definedName>
    <definedName name="________a1" localSheetId="9" hidden="1">{"'Sheet1'!$L$16"}</definedName>
    <definedName name="________a1" hidden="1">{"'Sheet1'!$L$16"}</definedName>
    <definedName name="_______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_a129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_a129" hidden="1">{"Offgrid",#N/A,FALSE,"OFFGRID";"Region",#N/A,FALSE,"REGION";"Offgrid -2",#N/A,FALSE,"OFFGRID";"WTP",#N/A,FALSE,"WTP";"WTP -2",#N/A,FALSE,"WTP";"Project",#N/A,FALSE,"PROJECT";"Summary -2",#N/A,FALSE,"SUMMARY"}</definedName>
    <definedName name="_______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_a130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_a130" hidden="1">{"Offgrid",#N/A,FALSE,"OFFGRID";"Region",#N/A,FALSE,"REGION";"Offgrid -2",#N/A,FALSE,"OFFGRID";"WTP",#N/A,FALSE,"WTP";"WTP -2",#N/A,FALSE,"WTP";"Project",#N/A,FALSE,"PROJECT";"Summary -2",#N/A,FALSE,"SUMMARY"}</definedName>
    <definedName name="________a2" localSheetId="3" hidden="1">{"'Sheet1'!$L$16"}</definedName>
    <definedName name="________a2" localSheetId="9" hidden="1">{"'Sheet1'!$L$16"}</definedName>
    <definedName name="________a2" hidden="1">{"'Sheet1'!$L$16"}</definedName>
    <definedName name="________a3" localSheetId="3" hidden="1">{"'Sheet1'!$L$16"}</definedName>
    <definedName name="________a3" localSheetId="9" hidden="1">{"'Sheet1'!$L$16"}</definedName>
    <definedName name="________a3" hidden="1">{"'Sheet1'!$L$16"}</definedName>
    <definedName name="________d1500" localSheetId="3" hidden="1">{"'Sheet1'!$L$16"}</definedName>
    <definedName name="________d1500" localSheetId="9" hidden="1">{"'Sheet1'!$L$16"}</definedName>
    <definedName name="________d1500" hidden="1">{"'Sheet1'!$L$16"}</definedName>
    <definedName name="________d1600" localSheetId="3" hidden="1">{"'Sheet1'!$L$16"}</definedName>
    <definedName name="________d1600" localSheetId="9" hidden="1">{"'Sheet1'!$L$16"}</definedName>
    <definedName name="________d1600" hidden="1">{"'Sheet1'!$L$16"}</definedName>
    <definedName name="________go8" localSheetId="3" hidden="1">{"'Sheet1'!$L$16"}</definedName>
    <definedName name="________go8" localSheetId="9" hidden="1">{"'Sheet1'!$L$16"}</definedName>
    <definedName name="________go8" hidden="1">{"'Sheet1'!$L$16"}</definedName>
    <definedName name="________Goi8" localSheetId="3" hidden="1">{"'Sheet1'!$L$16"}</definedName>
    <definedName name="________Goi8" localSheetId="9" hidden="1">{"'Sheet1'!$L$16"}</definedName>
    <definedName name="________Goi8" hidden="1">{"'Sheet1'!$L$16"}</definedName>
    <definedName name="________h1" localSheetId="3" hidden="1">{"'Sheet1'!$L$16"}</definedName>
    <definedName name="________h1" localSheetId="9" hidden="1">{"'Sheet1'!$L$16"}</definedName>
    <definedName name="________h1" hidden="1">{"'Sheet1'!$L$16"}</definedName>
    <definedName name="________h10" localSheetId="3" hidden="1">{#N/A,#N/A,FALSE,"Chi tiÆt"}</definedName>
    <definedName name="________h10" localSheetId="9" hidden="1">{#N/A,#N/A,FALSE,"Chi tiÆt"}</definedName>
    <definedName name="________h10" hidden="1">{#N/A,#N/A,FALSE,"Chi tiÆt"}</definedName>
    <definedName name="________h2" localSheetId="3" hidden="1">{"'Sheet1'!$L$16"}</definedName>
    <definedName name="________h2" localSheetId="9" hidden="1">{"'Sheet1'!$L$16"}</definedName>
    <definedName name="________h2" hidden="1">{"'Sheet1'!$L$16"}</definedName>
    <definedName name="________h3" localSheetId="3" hidden="1">{"'Sheet1'!$L$16"}</definedName>
    <definedName name="________h3" localSheetId="9" hidden="1">{"'Sheet1'!$L$16"}</definedName>
    <definedName name="________h3" hidden="1">{"'Sheet1'!$L$16"}</definedName>
    <definedName name="________h5" localSheetId="3" hidden="1">{"'Sheet1'!$L$16"}</definedName>
    <definedName name="________h5" localSheetId="9" hidden="1">{"'Sheet1'!$L$16"}</definedName>
    <definedName name="________h5" hidden="1">{"'Sheet1'!$L$16"}</definedName>
    <definedName name="________h6" localSheetId="3" hidden="1">{"'Sheet1'!$L$16"}</definedName>
    <definedName name="________h6" localSheetId="9" hidden="1">{"'Sheet1'!$L$16"}</definedName>
    <definedName name="________h6" hidden="1">{"'Sheet1'!$L$16"}</definedName>
    <definedName name="________h7" localSheetId="3" hidden="1">{"'Sheet1'!$L$16"}</definedName>
    <definedName name="________h7" localSheetId="9" hidden="1">{"'Sheet1'!$L$16"}</definedName>
    <definedName name="________h7" hidden="1">{"'Sheet1'!$L$16"}</definedName>
    <definedName name="________h8" localSheetId="3" hidden="1">{"'Sheet1'!$L$16"}</definedName>
    <definedName name="________h8" localSheetId="9" hidden="1">{"'Sheet1'!$L$16"}</definedName>
    <definedName name="________h8" hidden="1">{"'Sheet1'!$L$16"}</definedName>
    <definedName name="________h9" localSheetId="3" hidden="1">{"'Sheet1'!$L$16"}</definedName>
    <definedName name="________h9" localSheetId="9" hidden="1">{"'Sheet1'!$L$16"}</definedName>
    <definedName name="________h9" hidden="1">{"'Sheet1'!$L$16"}</definedName>
    <definedName name="________hu1" localSheetId="3" hidden="1">{"'Sheet1'!$L$16"}</definedName>
    <definedName name="________hu1" localSheetId="9" hidden="1">{"'Sheet1'!$L$16"}</definedName>
    <definedName name="________hu1" hidden="1">{"'Sheet1'!$L$16"}</definedName>
    <definedName name="________hu2" localSheetId="3" hidden="1">{"'Sheet1'!$L$16"}</definedName>
    <definedName name="________hu2" localSheetId="9" hidden="1">{"'Sheet1'!$L$16"}</definedName>
    <definedName name="________hu2" hidden="1">{"'Sheet1'!$L$16"}</definedName>
    <definedName name="________hu5" localSheetId="3" hidden="1">{"'Sheet1'!$L$16"}</definedName>
    <definedName name="________hu5" localSheetId="9" hidden="1">{"'Sheet1'!$L$16"}</definedName>
    <definedName name="________hu5" hidden="1">{"'Sheet1'!$L$16"}</definedName>
    <definedName name="________hu6" localSheetId="3" hidden="1">{"'Sheet1'!$L$16"}</definedName>
    <definedName name="________hu6" localSheetId="9" hidden="1">{"'Sheet1'!$L$16"}</definedName>
    <definedName name="________hu6" hidden="1">{"'Sheet1'!$L$16"}</definedName>
    <definedName name="________hu7" localSheetId="3" hidden="1">{"'Sheet1'!$L$16"}</definedName>
    <definedName name="________hu7" localSheetId="9" hidden="1">{"'Sheet1'!$L$16"}</definedName>
    <definedName name="________hu7" hidden="1">{"'Sheet1'!$L$16"}</definedName>
    <definedName name="________KCM1" localSheetId="3" hidden="1">{"'Sheet1'!$L$16"}</definedName>
    <definedName name="________KCM1" localSheetId="9" hidden="1">{"'Sheet1'!$L$16"}</definedName>
    <definedName name="________KCM1" hidden="1">{"'Sheet1'!$L$16"}</definedName>
    <definedName name="________Lan1" localSheetId="3" hidden="1">{"'Sheet1'!$L$16"}</definedName>
    <definedName name="________Lan1" localSheetId="9" hidden="1">{"'Sheet1'!$L$16"}</definedName>
    <definedName name="________Lan1" hidden="1">{"'Sheet1'!$L$16"}</definedName>
    <definedName name="________LAN3" localSheetId="3" hidden="1">{"'Sheet1'!$L$16"}</definedName>
    <definedName name="________LAN3" localSheetId="9" hidden="1">{"'Sheet1'!$L$16"}</definedName>
    <definedName name="________LAN3" hidden="1">{"'Sheet1'!$L$16"}</definedName>
    <definedName name="________PA3" localSheetId="3" hidden="1">{"'Sheet1'!$L$16"}</definedName>
    <definedName name="________PA3" localSheetId="9" hidden="1">{"'Sheet1'!$L$16"}</definedName>
    <definedName name="________PA3" hidden="1">{"'Sheet1'!$L$16"}</definedName>
    <definedName name="________T10" localSheetId="3" hidden="1">{"'Sheet1'!$L$16"}</definedName>
    <definedName name="________T10" localSheetId="9" hidden="1">{"'Sheet1'!$L$16"}</definedName>
    <definedName name="________T10" hidden="1">{"'Sheet1'!$L$16"}</definedName>
    <definedName name="________tb2" localSheetId="3" hidden="1">{"'Sheet1'!$L$16"}</definedName>
    <definedName name="________tb2" localSheetId="9" hidden="1">{"'Sheet1'!$L$16"}</definedName>
    <definedName name="________tb2" hidden="1">{"'Sheet1'!$L$16"}</definedName>
    <definedName name="________TM2" localSheetId="3" hidden="1">{"'Sheet1'!$L$16"}</definedName>
    <definedName name="________TM2" localSheetId="9" hidden="1">{"'Sheet1'!$L$16"}</definedName>
    <definedName name="________TM2" hidden="1">{"'Sheet1'!$L$16"}</definedName>
    <definedName name="________tt3" localSheetId="3" hidden="1">{"'Sheet1'!$L$16"}</definedName>
    <definedName name="________tt3" localSheetId="9" hidden="1">{"'Sheet1'!$L$16"}</definedName>
    <definedName name="________tt3" hidden="1">{"'Sheet1'!$L$16"}</definedName>
    <definedName name="_______a1" localSheetId="3" hidden="1">{"'Sheet1'!$L$16"}</definedName>
    <definedName name="_______a1" localSheetId="9" hidden="1">{"'Sheet1'!$L$16"}</definedName>
    <definedName name="_______a1" hidden="1">{"'Sheet1'!$L$16"}</definedName>
    <definedName name="______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a129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a129" hidden="1">{"Offgrid",#N/A,FALSE,"OFFGRID";"Region",#N/A,FALSE,"REGION";"Offgrid -2",#N/A,FALSE,"OFFGRID";"WTP",#N/A,FALSE,"WTP";"WTP -2",#N/A,FALSE,"WTP";"Project",#N/A,FALSE,"PROJECT";"Summary -2",#N/A,FALSE,"SUMMARY"}</definedName>
    <definedName name="______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_a130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_a130" hidden="1">{"Offgrid",#N/A,FALSE,"OFFGRID";"Region",#N/A,FALSE,"REGION";"Offgrid -2",#N/A,FALSE,"OFFGRID";"WTP",#N/A,FALSE,"WTP";"WTP -2",#N/A,FALSE,"WTP";"Project",#N/A,FALSE,"PROJECT";"Summary -2",#N/A,FALSE,"SUMMARY"}</definedName>
    <definedName name="_______a2" localSheetId="3" hidden="1">{"'Sheet1'!$L$16"}</definedName>
    <definedName name="_______a2" localSheetId="9" hidden="1">{"'Sheet1'!$L$16"}</definedName>
    <definedName name="_______a2" hidden="1">{"'Sheet1'!$L$16"}</definedName>
    <definedName name="_______a3" localSheetId="3" hidden="1">{"'Sheet1'!$L$16"}</definedName>
    <definedName name="_______a3" localSheetId="9" hidden="1">{"'Sheet1'!$L$16"}</definedName>
    <definedName name="_______a3" hidden="1">{"'Sheet1'!$L$16"}</definedName>
    <definedName name="_______d1500" localSheetId="3" hidden="1">{"'Sheet1'!$L$16"}</definedName>
    <definedName name="_______d1500" localSheetId="9" hidden="1">{"'Sheet1'!$L$16"}</definedName>
    <definedName name="_______d1500" hidden="1">{"'Sheet1'!$L$16"}</definedName>
    <definedName name="_______d1600" localSheetId="3" hidden="1">{"'Sheet1'!$L$16"}</definedName>
    <definedName name="_______d1600" localSheetId="9" hidden="1">{"'Sheet1'!$L$16"}</definedName>
    <definedName name="_______d1600" hidden="1">{"'Sheet1'!$L$16"}</definedName>
    <definedName name="_______go8" localSheetId="3" hidden="1">{"'Sheet1'!$L$16"}</definedName>
    <definedName name="_______go8" localSheetId="9" hidden="1">{"'Sheet1'!$L$16"}</definedName>
    <definedName name="_______go8" hidden="1">{"'Sheet1'!$L$16"}</definedName>
    <definedName name="_______Goi8" localSheetId="3" hidden="1">{"'Sheet1'!$L$16"}</definedName>
    <definedName name="_______Goi8" localSheetId="9" hidden="1">{"'Sheet1'!$L$16"}</definedName>
    <definedName name="_______Goi8" hidden="1">{"'Sheet1'!$L$16"}</definedName>
    <definedName name="_______h1" localSheetId="3" hidden="1">{"'Sheet1'!$L$16"}</definedName>
    <definedName name="_______h1" localSheetId="9" hidden="1">{"'Sheet1'!$L$16"}</definedName>
    <definedName name="_______h1" hidden="1">{"'Sheet1'!$L$16"}</definedName>
    <definedName name="_______h10" localSheetId="3" hidden="1">{#N/A,#N/A,FALSE,"Chi tiÆt"}</definedName>
    <definedName name="_______h10" localSheetId="9" hidden="1">{#N/A,#N/A,FALSE,"Chi tiÆt"}</definedName>
    <definedName name="_______h10" hidden="1">{#N/A,#N/A,FALSE,"Chi tiÆt"}</definedName>
    <definedName name="_______h2" localSheetId="3" hidden="1">{"'Sheet1'!$L$16"}</definedName>
    <definedName name="_______h2" localSheetId="9" hidden="1">{"'Sheet1'!$L$16"}</definedName>
    <definedName name="_______h2" hidden="1">{"'Sheet1'!$L$16"}</definedName>
    <definedName name="_______h3" localSheetId="3" hidden="1">{"'Sheet1'!$L$16"}</definedName>
    <definedName name="_______h3" localSheetId="9" hidden="1">{"'Sheet1'!$L$16"}</definedName>
    <definedName name="_______h3" hidden="1">{"'Sheet1'!$L$16"}</definedName>
    <definedName name="_______h5" localSheetId="3" hidden="1">{"'Sheet1'!$L$16"}</definedName>
    <definedName name="_______h5" localSheetId="9" hidden="1">{"'Sheet1'!$L$16"}</definedName>
    <definedName name="_______h5" hidden="1">{"'Sheet1'!$L$16"}</definedName>
    <definedName name="_______h6" localSheetId="3" hidden="1">{"'Sheet1'!$L$16"}</definedName>
    <definedName name="_______h6" localSheetId="9" hidden="1">{"'Sheet1'!$L$16"}</definedName>
    <definedName name="_______h6" hidden="1">{"'Sheet1'!$L$16"}</definedName>
    <definedName name="_______h7" localSheetId="3" hidden="1">{"'Sheet1'!$L$16"}</definedName>
    <definedName name="_______h7" localSheetId="9" hidden="1">{"'Sheet1'!$L$16"}</definedName>
    <definedName name="_______h7" hidden="1">{"'Sheet1'!$L$16"}</definedName>
    <definedName name="_______h8" localSheetId="3" hidden="1">{"'Sheet1'!$L$16"}</definedName>
    <definedName name="_______h8" localSheetId="9" hidden="1">{"'Sheet1'!$L$16"}</definedName>
    <definedName name="_______h8" hidden="1">{"'Sheet1'!$L$16"}</definedName>
    <definedName name="_______h9" localSheetId="3" hidden="1">{"'Sheet1'!$L$16"}</definedName>
    <definedName name="_______h9" localSheetId="9" hidden="1">{"'Sheet1'!$L$16"}</definedName>
    <definedName name="_______h9" hidden="1">{"'Sheet1'!$L$16"}</definedName>
    <definedName name="_______hu1" localSheetId="3" hidden="1">{"'Sheet1'!$L$16"}</definedName>
    <definedName name="_______hu1" localSheetId="9" hidden="1">{"'Sheet1'!$L$16"}</definedName>
    <definedName name="_______hu1" hidden="1">{"'Sheet1'!$L$16"}</definedName>
    <definedName name="_______hu2" localSheetId="3" hidden="1">{"'Sheet1'!$L$16"}</definedName>
    <definedName name="_______hu2" localSheetId="9" hidden="1">{"'Sheet1'!$L$16"}</definedName>
    <definedName name="_______hu2" hidden="1">{"'Sheet1'!$L$16"}</definedName>
    <definedName name="_______hu5" localSheetId="3" hidden="1">{"'Sheet1'!$L$16"}</definedName>
    <definedName name="_______hu5" localSheetId="9" hidden="1">{"'Sheet1'!$L$16"}</definedName>
    <definedName name="_______hu5" hidden="1">{"'Sheet1'!$L$16"}</definedName>
    <definedName name="_______hu6" localSheetId="3" hidden="1">{"'Sheet1'!$L$16"}</definedName>
    <definedName name="_______hu6" localSheetId="9" hidden="1">{"'Sheet1'!$L$16"}</definedName>
    <definedName name="_______hu6" hidden="1">{"'Sheet1'!$L$16"}</definedName>
    <definedName name="_______hu7" localSheetId="3" hidden="1">{"'Sheet1'!$L$16"}</definedName>
    <definedName name="_______hu7" localSheetId="9" hidden="1">{"'Sheet1'!$L$16"}</definedName>
    <definedName name="_______hu7" hidden="1">{"'Sheet1'!$L$16"}</definedName>
    <definedName name="_______KCM1" localSheetId="3" hidden="1">{"'Sheet1'!$L$16"}</definedName>
    <definedName name="_______KCM1" localSheetId="9" hidden="1">{"'Sheet1'!$L$16"}</definedName>
    <definedName name="_______KCM1" hidden="1">{"'Sheet1'!$L$16"}</definedName>
    <definedName name="_______Lan1" localSheetId="3" hidden="1">{"'Sheet1'!$L$16"}</definedName>
    <definedName name="_______Lan1" localSheetId="9" hidden="1">{"'Sheet1'!$L$16"}</definedName>
    <definedName name="_______Lan1" hidden="1">{"'Sheet1'!$L$16"}</definedName>
    <definedName name="_______LAN3" localSheetId="3" hidden="1">{"'Sheet1'!$L$16"}</definedName>
    <definedName name="_______LAN3" localSheetId="9" hidden="1">{"'Sheet1'!$L$16"}</definedName>
    <definedName name="_______LAN3" hidden="1">{"'Sheet1'!$L$16"}</definedName>
    <definedName name="_______NSO2" localSheetId="3" hidden="1">{"'Sheet1'!$L$16"}</definedName>
    <definedName name="_______NSO2" localSheetId="9" hidden="1">{"'Sheet1'!$L$16"}</definedName>
    <definedName name="_______NSO2" hidden="1">{"'Sheet1'!$L$16"}</definedName>
    <definedName name="_______PA3" localSheetId="3" hidden="1">{"'Sheet1'!$L$16"}</definedName>
    <definedName name="_______PA3" localSheetId="9" hidden="1">{"'Sheet1'!$L$16"}</definedName>
    <definedName name="_______PA3" hidden="1">{"'Sheet1'!$L$16"}</definedName>
    <definedName name="_______T10" localSheetId="3" hidden="1">{"'Sheet1'!$L$16"}</definedName>
    <definedName name="_______T10" localSheetId="9" hidden="1">{"'Sheet1'!$L$16"}</definedName>
    <definedName name="_______T10" hidden="1">{"'Sheet1'!$L$16"}</definedName>
    <definedName name="_______tb2" localSheetId="3" hidden="1">{"'Sheet1'!$L$16"}</definedName>
    <definedName name="_______tb2" localSheetId="9" hidden="1">{"'Sheet1'!$L$16"}</definedName>
    <definedName name="_______tb2" hidden="1">{"'Sheet1'!$L$16"}</definedName>
    <definedName name="_______TM2" localSheetId="3" hidden="1">{"'Sheet1'!$L$16"}</definedName>
    <definedName name="_______TM2" localSheetId="9" hidden="1">{"'Sheet1'!$L$16"}</definedName>
    <definedName name="_______TM2" hidden="1">{"'Sheet1'!$L$16"}</definedName>
    <definedName name="_______tt3" localSheetId="3" hidden="1">{"'Sheet1'!$L$16"}</definedName>
    <definedName name="_______tt3" localSheetId="9" hidden="1">{"'Sheet1'!$L$16"}</definedName>
    <definedName name="_______tt3" hidden="1">{"'Sheet1'!$L$16"}</definedName>
    <definedName name="______a1" localSheetId="3" hidden="1">{"'Sheet1'!$L$16"}</definedName>
    <definedName name="______a1" localSheetId="9" hidden="1">{"'Sheet1'!$L$16"}</definedName>
    <definedName name="______a1" hidden="1">{"'Sheet1'!$L$16"}</definedName>
    <definedName name="_____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a129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a129" hidden="1">{"Offgrid",#N/A,FALSE,"OFFGRID";"Region",#N/A,FALSE,"REGION";"Offgrid -2",#N/A,FALSE,"OFFGRID";"WTP",#N/A,FALSE,"WTP";"WTP -2",#N/A,FALSE,"WTP";"Project",#N/A,FALSE,"PROJECT";"Summary -2",#N/A,FALSE,"SUMMARY"}</definedName>
    <definedName name="_____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_a130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_a130" hidden="1">{"Offgrid",#N/A,FALSE,"OFFGRID";"Region",#N/A,FALSE,"REGION";"Offgrid -2",#N/A,FALSE,"OFFGRID";"WTP",#N/A,FALSE,"WTP";"WTP -2",#N/A,FALSE,"WTP";"Project",#N/A,FALSE,"PROJECT";"Summary -2",#N/A,FALSE,"SUMMARY"}</definedName>
    <definedName name="______a2" localSheetId="3" hidden="1">{"'Sheet1'!$L$16"}</definedName>
    <definedName name="______a2" localSheetId="9" hidden="1">{"'Sheet1'!$L$16"}</definedName>
    <definedName name="______a2" hidden="1">{"'Sheet1'!$L$16"}</definedName>
    <definedName name="______a3" localSheetId="3" hidden="1">{"'Sheet1'!$L$16"}</definedName>
    <definedName name="______a3" localSheetId="9" hidden="1">{"'Sheet1'!$L$16"}</definedName>
    <definedName name="______a3" hidden="1">{"'Sheet1'!$L$16"}</definedName>
    <definedName name="______d1500" localSheetId="3" hidden="1">{"'Sheet1'!$L$16"}</definedName>
    <definedName name="______d1500" localSheetId="9" hidden="1">{"'Sheet1'!$L$16"}</definedName>
    <definedName name="______d1500" hidden="1">{"'Sheet1'!$L$16"}</definedName>
    <definedName name="______d1600" localSheetId="3" hidden="1">{"'Sheet1'!$L$16"}</definedName>
    <definedName name="______d1600" localSheetId="9" hidden="1">{"'Sheet1'!$L$16"}</definedName>
    <definedName name="______d1600" hidden="1">{"'Sheet1'!$L$16"}</definedName>
    <definedName name="______go8" localSheetId="3" hidden="1">{"'Sheet1'!$L$16"}</definedName>
    <definedName name="______go8" localSheetId="9" hidden="1">{"'Sheet1'!$L$16"}</definedName>
    <definedName name="______go8" hidden="1">{"'Sheet1'!$L$16"}</definedName>
    <definedName name="______Goi8" localSheetId="3" hidden="1">{"'Sheet1'!$L$16"}</definedName>
    <definedName name="______Goi8" localSheetId="9" hidden="1">{"'Sheet1'!$L$16"}</definedName>
    <definedName name="______Goi8" hidden="1">{"'Sheet1'!$L$16"}</definedName>
    <definedName name="______h1" localSheetId="3" hidden="1">{"'Sheet1'!$L$16"}</definedName>
    <definedName name="______h1" localSheetId="9" hidden="1">{"'Sheet1'!$L$16"}</definedName>
    <definedName name="______h1" hidden="1">{"'Sheet1'!$L$16"}</definedName>
    <definedName name="______h10" localSheetId="3" hidden="1">{#N/A,#N/A,FALSE,"Chi tiÆt"}</definedName>
    <definedName name="______h10" localSheetId="9" hidden="1">{#N/A,#N/A,FALSE,"Chi tiÆt"}</definedName>
    <definedName name="______h10" hidden="1">{#N/A,#N/A,FALSE,"Chi tiÆt"}</definedName>
    <definedName name="______h2" localSheetId="3" hidden="1">{"'Sheet1'!$L$16"}</definedName>
    <definedName name="______h2" localSheetId="9" hidden="1">{"'Sheet1'!$L$16"}</definedName>
    <definedName name="______h2" hidden="1">{"'Sheet1'!$L$16"}</definedName>
    <definedName name="______h3" localSheetId="3" hidden="1">{"'Sheet1'!$L$16"}</definedName>
    <definedName name="______h3" localSheetId="9" hidden="1">{"'Sheet1'!$L$16"}</definedName>
    <definedName name="______h3" hidden="1">{"'Sheet1'!$L$16"}</definedName>
    <definedName name="______h5" localSheetId="3" hidden="1">{"'Sheet1'!$L$16"}</definedName>
    <definedName name="______h5" localSheetId="9" hidden="1">{"'Sheet1'!$L$16"}</definedName>
    <definedName name="______h5" hidden="1">{"'Sheet1'!$L$16"}</definedName>
    <definedName name="______h6" localSheetId="3" hidden="1">{"'Sheet1'!$L$16"}</definedName>
    <definedName name="______h6" localSheetId="9" hidden="1">{"'Sheet1'!$L$16"}</definedName>
    <definedName name="______h6" hidden="1">{"'Sheet1'!$L$16"}</definedName>
    <definedName name="______h7" localSheetId="3" hidden="1">{"'Sheet1'!$L$16"}</definedName>
    <definedName name="______h7" localSheetId="9" hidden="1">{"'Sheet1'!$L$16"}</definedName>
    <definedName name="______h7" hidden="1">{"'Sheet1'!$L$16"}</definedName>
    <definedName name="______h8" localSheetId="3" hidden="1">{"'Sheet1'!$L$16"}</definedName>
    <definedName name="______h8" localSheetId="9" hidden="1">{"'Sheet1'!$L$16"}</definedName>
    <definedName name="______h8" hidden="1">{"'Sheet1'!$L$16"}</definedName>
    <definedName name="______h9" localSheetId="3" hidden="1">{"'Sheet1'!$L$16"}</definedName>
    <definedName name="______h9" localSheetId="9" hidden="1">{"'Sheet1'!$L$16"}</definedName>
    <definedName name="______h9" hidden="1">{"'Sheet1'!$L$16"}</definedName>
    <definedName name="______hu1" localSheetId="3" hidden="1">{"'Sheet1'!$L$16"}</definedName>
    <definedName name="______hu1" localSheetId="9" hidden="1">{"'Sheet1'!$L$16"}</definedName>
    <definedName name="______hu1" hidden="1">{"'Sheet1'!$L$16"}</definedName>
    <definedName name="______hu2" localSheetId="3" hidden="1">{"'Sheet1'!$L$16"}</definedName>
    <definedName name="______hu2" localSheetId="9" hidden="1">{"'Sheet1'!$L$16"}</definedName>
    <definedName name="______hu2" hidden="1">{"'Sheet1'!$L$16"}</definedName>
    <definedName name="______hu5" localSheetId="3" hidden="1">{"'Sheet1'!$L$16"}</definedName>
    <definedName name="______hu5" localSheetId="9" hidden="1">{"'Sheet1'!$L$16"}</definedName>
    <definedName name="______hu5" hidden="1">{"'Sheet1'!$L$16"}</definedName>
    <definedName name="______hu6" localSheetId="3" hidden="1">{"'Sheet1'!$L$16"}</definedName>
    <definedName name="______hu6" localSheetId="9" hidden="1">{"'Sheet1'!$L$16"}</definedName>
    <definedName name="______hu6" hidden="1">{"'Sheet1'!$L$16"}</definedName>
    <definedName name="______hu7" localSheetId="3" hidden="1">{"'Sheet1'!$L$16"}</definedName>
    <definedName name="______hu7" localSheetId="9" hidden="1">{"'Sheet1'!$L$16"}</definedName>
    <definedName name="______hu7" hidden="1">{"'Sheet1'!$L$16"}</definedName>
    <definedName name="______KCM1" localSheetId="3" hidden="1">{"'Sheet1'!$L$16"}</definedName>
    <definedName name="______KCM1" localSheetId="9" hidden="1">{"'Sheet1'!$L$16"}</definedName>
    <definedName name="______KCM1" hidden="1">{"'Sheet1'!$L$16"}</definedName>
    <definedName name="______Lan1" localSheetId="3" hidden="1">{"'Sheet1'!$L$16"}</definedName>
    <definedName name="______Lan1" localSheetId="9" hidden="1">{"'Sheet1'!$L$16"}</definedName>
    <definedName name="______Lan1" hidden="1">{"'Sheet1'!$L$16"}</definedName>
    <definedName name="______LAN3" localSheetId="3" hidden="1">{"'Sheet1'!$L$16"}</definedName>
    <definedName name="______LAN3" localSheetId="9" hidden="1">{"'Sheet1'!$L$16"}</definedName>
    <definedName name="______LAN3" hidden="1">{"'Sheet1'!$L$16"}</definedName>
    <definedName name="______NSO2" localSheetId="3" hidden="1">{"'Sheet1'!$L$16"}</definedName>
    <definedName name="______NSO2" localSheetId="9" hidden="1">{"'Sheet1'!$L$16"}</definedName>
    <definedName name="______NSO2" hidden="1">{"'Sheet1'!$L$16"}</definedName>
    <definedName name="______PA3" localSheetId="3" hidden="1">{"'Sheet1'!$L$16"}</definedName>
    <definedName name="______PA3" localSheetId="9" hidden="1">{"'Sheet1'!$L$16"}</definedName>
    <definedName name="______PA3" hidden="1">{"'Sheet1'!$L$16"}</definedName>
    <definedName name="______T10" localSheetId="3" hidden="1">{"'Sheet1'!$L$16"}</definedName>
    <definedName name="______T10" localSheetId="9" hidden="1">{"'Sheet1'!$L$16"}</definedName>
    <definedName name="______T10" hidden="1">{"'Sheet1'!$L$16"}</definedName>
    <definedName name="______tb2" localSheetId="3" hidden="1">{"'Sheet1'!$L$16"}</definedName>
    <definedName name="______tb2" localSheetId="9" hidden="1">{"'Sheet1'!$L$16"}</definedName>
    <definedName name="______tb2" hidden="1">{"'Sheet1'!$L$16"}</definedName>
    <definedName name="______TM2" localSheetId="3" hidden="1">{"'Sheet1'!$L$16"}</definedName>
    <definedName name="______TM2" localSheetId="9" hidden="1">{"'Sheet1'!$L$16"}</definedName>
    <definedName name="______TM2" hidden="1">{"'Sheet1'!$L$16"}</definedName>
    <definedName name="______tt3" localSheetId="3" hidden="1">{"'Sheet1'!$L$16"}</definedName>
    <definedName name="______tt3" localSheetId="9" hidden="1">{"'Sheet1'!$L$16"}</definedName>
    <definedName name="______tt3" hidden="1">{"'Sheet1'!$L$16"}</definedName>
    <definedName name="______vl2" localSheetId="3" hidden="1">{"'Sheet1'!$L$16"}</definedName>
    <definedName name="______vl2" localSheetId="9" hidden="1">{"'Sheet1'!$L$16"}</definedName>
    <definedName name="______vl2" hidden="1">{"'Sheet1'!$L$16"}</definedName>
    <definedName name="_____a1" localSheetId="3" hidden="1">{"'Sheet1'!$L$16"}</definedName>
    <definedName name="_____a1" localSheetId="9" hidden="1">{"'Sheet1'!$L$16"}</definedName>
    <definedName name="_____a1" hidden="1">{"'Sheet1'!$L$16"}</definedName>
    <definedName name="____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a129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a129" hidden="1">{"Offgrid",#N/A,FALSE,"OFFGRID";"Region",#N/A,FALSE,"REGION";"Offgrid -2",#N/A,FALSE,"OFFGRID";"WTP",#N/A,FALSE,"WTP";"WTP -2",#N/A,FALSE,"WTP";"Project",#N/A,FALSE,"PROJECT";"Summary -2",#N/A,FALSE,"SUMMARY"}</definedName>
    <definedName name="____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_a130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_a130" hidden="1">{"Offgrid",#N/A,FALSE,"OFFGRID";"Region",#N/A,FALSE,"REGION";"Offgrid -2",#N/A,FALSE,"OFFGRID";"WTP",#N/A,FALSE,"WTP";"WTP -2",#N/A,FALSE,"WTP";"Project",#N/A,FALSE,"PROJECT";"Summary -2",#N/A,FALSE,"SUMMARY"}</definedName>
    <definedName name="_____a2" localSheetId="3" hidden="1">{"'Sheet1'!$L$16"}</definedName>
    <definedName name="_____a2" localSheetId="9" hidden="1">{"'Sheet1'!$L$16"}</definedName>
    <definedName name="_____a2" hidden="1">{"'Sheet1'!$L$16"}</definedName>
    <definedName name="_____a3" localSheetId="3" hidden="1">{"'Sheet1'!$L$16"}</definedName>
    <definedName name="_____a3" localSheetId="9" hidden="1">{"'Sheet1'!$L$16"}</definedName>
    <definedName name="_____a3" hidden="1">{"'Sheet1'!$L$16"}</definedName>
    <definedName name="_____d1500" localSheetId="3" hidden="1">{"'Sheet1'!$L$16"}</definedName>
    <definedName name="_____d1500" localSheetId="9" hidden="1">{"'Sheet1'!$L$16"}</definedName>
    <definedName name="_____d1500" hidden="1">{"'Sheet1'!$L$16"}</definedName>
    <definedName name="_____d1600" localSheetId="3" hidden="1">{"'Sheet1'!$L$16"}</definedName>
    <definedName name="_____d1600" localSheetId="9" hidden="1">{"'Sheet1'!$L$16"}</definedName>
    <definedName name="_____d1600" hidden="1">{"'Sheet1'!$L$16"}</definedName>
    <definedName name="_____f5" localSheetId="3" hidden="1">{"'Sheet1'!$L$16"}</definedName>
    <definedName name="_____f5" localSheetId="9" hidden="1">{"'Sheet1'!$L$16"}</definedName>
    <definedName name="_____f5" hidden="1">{"'Sheet1'!$L$16"}</definedName>
    <definedName name="_____go8" localSheetId="3" hidden="1">{"'Sheet1'!$L$16"}</definedName>
    <definedName name="_____go8" localSheetId="9" hidden="1">{"'Sheet1'!$L$16"}</definedName>
    <definedName name="_____go8" hidden="1">{"'Sheet1'!$L$16"}</definedName>
    <definedName name="_____Goi8" localSheetId="3" hidden="1">{"'Sheet1'!$L$16"}</definedName>
    <definedName name="_____Goi8" localSheetId="9" hidden="1">{"'Sheet1'!$L$16"}</definedName>
    <definedName name="_____Goi8" hidden="1">{"'Sheet1'!$L$16"}</definedName>
    <definedName name="_____h1" localSheetId="3" hidden="1">{"'Sheet1'!$L$16"}</definedName>
    <definedName name="_____h1" localSheetId="9" hidden="1">{"'Sheet1'!$L$16"}</definedName>
    <definedName name="_____h1" hidden="1">{"'Sheet1'!$L$16"}</definedName>
    <definedName name="_____h10" localSheetId="3" hidden="1">{#N/A,#N/A,FALSE,"Chi tiÆt"}</definedName>
    <definedName name="_____h10" localSheetId="9" hidden="1">{#N/A,#N/A,FALSE,"Chi tiÆt"}</definedName>
    <definedName name="_____h10" hidden="1">{#N/A,#N/A,FALSE,"Chi tiÆt"}</definedName>
    <definedName name="_____h2" localSheetId="3" hidden="1">{"'Sheet1'!$L$16"}</definedName>
    <definedName name="_____h2" localSheetId="9" hidden="1">{"'Sheet1'!$L$16"}</definedName>
    <definedName name="_____h2" hidden="1">{"'Sheet1'!$L$16"}</definedName>
    <definedName name="_____h3" localSheetId="3" hidden="1">{"'Sheet1'!$L$16"}</definedName>
    <definedName name="_____h3" localSheetId="9" hidden="1">{"'Sheet1'!$L$16"}</definedName>
    <definedName name="_____h3" hidden="1">{"'Sheet1'!$L$16"}</definedName>
    <definedName name="_____h5" localSheetId="3" hidden="1">{"'Sheet1'!$L$16"}</definedName>
    <definedName name="_____h5" localSheetId="9" hidden="1">{"'Sheet1'!$L$16"}</definedName>
    <definedName name="_____h5" hidden="1">{"'Sheet1'!$L$16"}</definedName>
    <definedName name="_____h6" localSheetId="3" hidden="1">{"'Sheet1'!$L$16"}</definedName>
    <definedName name="_____h6" localSheetId="9" hidden="1">{"'Sheet1'!$L$16"}</definedName>
    <definedName name="_____h6" hidden="1">{"'Sheet1'!$L$16"}</definedName>
    <definedName name="_____h7" localSheetId="3" hidden="1">{"'Sheet1'!$L$16"}</definedName>
    <definedName name="_____h7" localSheetId="9" hidden="1">{"'Sheet1'!$L$16"}</definedName>
    <definedName name="_____h7" hidden="1">{"'Sheet1'!$L$16"}</definedName>
    <definedName name="_____h8" localSheetId="3" hidden="1">{"'Sheet1'!$L$16"}</definedName>
    <definedName name="_____h8" localSheetId="9" hidden="1">{"'Sheet1'!$L$16"}</definedName>
    <definedName name="_____h8" hidden="1">{"'Sheet1'!$L$16"}</definedName>
    <definedName name="_____h9" localSheetId="3" hidden="1">{"'Sheet1'!$L$16"}</definedName>
    <definedName name="_____h9" localSheetId="9" hidden="1">{"'Sheet1'!$L$16"}</definedName>
    <definedName name="_____h9" hidden="1">{"'Sheet1'!$L$16"}</definedName>
    <definedName name="_____hu1" localSheetId="3" hidden="1">{"'Sheet1'!$L$16"}</definedName>
    <definedName name="_____hu1" localSheetId="9" hidden="1">{"'Sheet1'!$L$16"}</definedName>
    <definedName name="_____hu1" hidden="1">{"'Sheet1'!$L$16"}</definedName>
    <definedName name="_____hu2" localSheetId="3" hidden="1">{"'Sheet1'!$L$16"}</definedName>
    <definedName name="_____hu2" localSheetId="9" hidden="1">{"'Sheet1'!$L$16"}</definedName>
    <definedName name="_____hu2" hidden="1">{"'Sheet1'!$L$16"}</definedName>
    <definedName name="_____hu5" localSheetId="3" hidden="1">{"'Sheet1'!$L$16"}</definedName>
    <definedName name="_____hu5" localSheetId="9" hidden="1">{"'Sheet1'!$L$16"}</definedName>
    <definedName name="_____hu5" hidden="1">{"'Sheet1'!$L$16"}</definedName>
    <definedName name="_____hu6" localSheetId="3" hidden="1">{"'Sheet1'!$L$16"}</definedName>
    <definedName name="_____hu6" localSheetId="9" hidden="1">{"'Sheet1'!$L$16"}</definedName>
    <definedName name="_____hu6" hidden="1">{"'Sheet1'!$L$16"}</definedName>
    <definedName name="_____hu7" localSheetId="3" hidden="1">{"'Sheet1'!$L$16"}</definedName>
    <definedName name="_____hu7" localSheetId="9" hidden="1">{"'Sheet1'!$L$16"}</definedName>
    <definedName name="_____hu7" hidden="1">{"'Sheet1'!$L$16"}</definedName>
    <definedName name="_____KCM1" localSheetId="3" hidden="1">{"'Sheet1'!$L$16"}</definedName>
    <definedName name="_____KCM1" localSheetId="9" hidden="1">{"'Sheet1'!$L$16"}</definedName>
    <definedName name="_____KCM1" hidden="1">{"'Sheet1'!$L$16"}</definedName>
    <definedName name="_____Lan1" localSheetId="3" hidden="1">{"'Sheet1'!$L$16"}</definedName>
    <definedName name="_____Lan1" localSheetId="9" hidden="1">{"'Sheet1'!$L$16"}</definedName>
    <definedName name="_____Lan1" hidden="1">{"'Sheet1'!$L$16"}</definedName>
    <definedName name="_____LAN3" localSheetId="3" hidden="1">{"'Sheet1'!$L$16"}</definedName>
    <definedName name="_____LAN3" localSheetId="9" hidden="1">{"'Sheet1'!$L$16"}</definedName>
    <definedName name="_____LAN3" hidden="1">{"'Sheet1'!$L$16"}</definedName>
    <definedName name="_____M2" localSheetId="3" hidden="1">{"'Sheet1'!$L$16"}</definedName>
    <definedName name="_____M2" localSheetId="9" hidden="1">{"'Sheet1'!$L$16"}</definedName>
    <definedName name="_____M2" hidden="1">{"'Sheet1'!$L$16"}</definedName>
    <definedName name="_____ns02" localSheetId="3" hidden="1">{"'Sheet1'!$L$16"}</definedName>
    <definedName name="_____ns02" localSheetId="9" hidden="1">{"'Sheet1'!$L$16"}</definedName>
    <definedName name="_____ns02" hidden="1">{"'Sheet1'!$L$16"}</definedName>
    <definedName name="_____NSO2" localSheetId="3" hidden="1">{"'Sheet1'!$L$16"}</definedName>
    <definedName name="_____NSO2" localSheetId="9" hidden="1">{"'Sheet1'!$L$16"}</definedName>
    <definedName name="_____NSO2" hidden="1">{"'Sheet1'!$L$16"}</definedName>
    <definedName name="_____PA3" localSheetId="3" hidden="1">{"'Sheet1'!$L$16"}</definedName>
    <definedName name="_____PA3" localSheetId="9" hidden="1">{"'Sheet1'!$L$16"}</definedName>
    <definedName name="_____PA3" hidden="1">{"'Sheet1'!$L$16"}</definedName>
    <definedName name="_____T10" localSheetId="3" hidden="1">{"'Sheet1'!$L$16"}</definedName>
    <definedName name="_____T10" localSheetId="9" hidden="1">{"'Sheet1'!$L$16"}</definedName>
    <definedName name="_____T10" hidden="1">{"'Sheet1'!$L$16"}</definedName>
    <definedName name="_____tb2" localSheetId="3" hidden="1">{"'Sheet1'!$L$16"}</definedName>
    <definedName name="_____tb2" localSheetId="9" hidden="1">{"'Sheet1'!$L$16"}</definedName>
    <definedName name="_____tb2" hidden="1">{"'Sheet1'!$L$16"}</definedName>
    <definedName name="_____TM2" localSheetId="3" hidden="1">{"'Sheet1'!$L$16"}</definedName>
    <definedName name="_____TM2" localSheetId="9" hidden="1">{"'Sheet1'!$L$16"}</definedName>
    <definedName name="_____TM2" hidden="1">{"'Sheet1'!$L$16"}</definedName>
    <definedName name="_____tt3" localSheetId="3" hidden="1">{"'Sheet1'!$L$16"}</definedName>
    <definedName name="_____tt3" localSheetId="9" hidden="1">{"'Sheet1'!$L$16"}</definedName>
    <definedName name="_____tt3" hidden="1">{"'Sheet1'!$L$16"}</definedName>
    <definedName name="_____vl2" localSheetId="3" hidden="1">{"'Sheet1'!$L$16"}</definedName>
    <definedName name="_____vl2" localSheetId="9" hidden="1">{"'Sheet1'!$L$16"}</definedName>
    <definedName name="_____vl2" hidden="1">{"'Sheet1'!$L$16"}</definedName>
    <definedName name="____a1" localSheetId="3" hidden="1">{"'Sheet1'!$L$16"}</definedName>
    <definedName name="____a1" localSheetId="9" hidden="1">{"'Sheet1'!$L$16"}</definedName>
    <definedName name="____a1" hidden="1">{"'Sheet1'!$L$16"}</definedName>
    <definedName name="___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a129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_a130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a2" localSheetId="3" hidden="1">{"'Sheet1'!$L$16"}</definedName>
    <definedName name="____a2" localSheetId="9" hidden="1">{"'Sheet1'!$L$16"}</definedName>
    <definedName name="____a2" hidden="1">{"'Sheet1'!$L$16"}</definedName>
    <definedName name="____a3" localSheetId="3" hidden="1">{"'Sheet1'!$L$16"}</definedName>
    <definedName name="____a3" localSheetId="9" hidden="1">{"'Sheet1'!$L$16"}</definedName>
    <definedName name="____a3" hidden="1">{"'Sheet1'!$L$16"}</definedName>
    <definedName name="____d1500" localSheetId="3" hidden="1">{"'Sheet1'!$L$16"}</definedName>
    <definedName name="____d1500" localSheetId="9" hidden="1">{"'Sheet1'!$L$16"}</definedName>
    <definedName name="____d1500" hidden="1">{"'Sheet1'!$L$16"}</definedName>
    <definedName name="____d1600" localSheetId="3" hidden="1">{"'Sheet1'!$L$16"}</definedName>
    <definedName name="____d1600" localSheetId="9" hidden="1">{"'Sheet1'!$L$16"}</definedName>
    <definedName name="____d1600" hidden="1">{"'Sheet1'!$L$16"}</definedName>
    <definedName name="____f5" localSheetId="3" hidden="1">{"'Sheet1'!$L$16"}</definedName>
    <definedName name="____f5" localSheetId="9" hidden="1">{"'Sheet1'!$L$16"}</definedName>
    <definedName name="____f5" hidden="1">{"'Sheet1'!$L$16"}</definedName>
    <definedName name="____go8" localSheetId="3" hidden="1">{"'Sheet1'!$L$16"}</definedName>
    <definedName name="____go8" localSheetId="9" hidden="1">{"'Sheet1'!$L$16"}</definedName>
    <definedName name="____go8" hidden="1">{"'Sheet1'!$L$16"}</definedName>
    <definedName name="____Goi8" localSheetId="3" hidden="1">{"'Sheet1'!$L$16"}</definedName>
    <definedName name="____Goi8" localSheetId="9" hidden="1">{"'Sheet1'!$L$16"}</definedName>
    <definedName name="____Goi8" hidden="1">{"'Sheet1'!$L$16"}</definedName>
    <definedName name="____h1" localSheetId="3" hidden="1">{"'Sheet1'!$L$16"}</definedName>
    <definedName name="____h1" localSheetId="9" hidden="1">{"'Sheet1'!$L$16"}</definedName>
    <definedName name="____h1" hidden="1">{"'Sheet1'!$L$16"}</definedName>
    <definedName name="____h10" localSheetId="3" hidden="1">{#N/A,#N/A,FALSE,"Chi tiÆt"}</definedName>
    <definedName name="____h10" localSheetId="9" hidden="1">{#N/A,#N/A,FALSE,"Chi tiÆt"}</definedName>
    <definedName name="____h10" hidden="1">{#N/A,#N/A,FALSE,"Chi tiÆt"}</definedName>
    <definedName name="____h2" localSheetId="3" hidden="1">{"'Sheet1'!$L$16"}</definedName>
    <definedName name="____h2" localSheetId="9" hidden="1">{"'Sheet1'!$L$16"}</definedName>
    <definedName name="____h2" hidden="1">{"'Sheet1'!$L$16"}</definedName>
    <definedName name="____h3" localSheetId="3" hidden="1">{"'Sheet1'!$L$16"}</definedName>
    <definedName name="____h3" localSheetId="9" hidden="1">{"'Sheet1'!$L$16"}</definedName>
    <definedName name="____h3" hidden="1">{"'Sheet1'!$L$16"}</definedName>
    <definedName name="____h5" localSheetId="3" hidden="1">{"'Sheet1'!$L$16"}</definedName>
    <definedName name="____h5" localSheetId="9" hidden="1">{"'Sheet1'!$L$16"}</definedName>
    <definedName name="____h5" hidden="1">{"'Sheet1'!$L$16"}</definedName>
    <definedName name="____h6" localSheetId="3" hidden="1">{"'Sheet1'!$L$16"}</definedName>
    <definedName name="____h6" localSheetId="9" hidden="1">{"'Sheet1'!$L$16"}</definedName>
    <definedName name="____h6" hidden="1">{"'Sheet1'!$L$16"}</definedName>
    <definedName name="____h7" localSheetId="3" hidden="1">{"'Sheet1'!$L$16"}</definedName>
    <definedName name="____h7" localSheetId="9" hidden="1">{"'Sheet1'!$L$16"}</definedName>
    <definedName name="____h7" hidden="1">{"'Sheet1'!$L$16"}</definedName>
    <definedName name="____h8" localSheetId="3" hidden="1">{"'Sheet1'!$L$16"}</definedName>
    <definedName name="____h8" localSheetId="9" hidden="1">{"'Sheet1'!$L$16"}</definedName>
    <definedName name="____h8" hidden="1">{"'Sheet1'!$L$16"}</definedName>
    <definedName name="____h9" localSheetId="3" hidden="1">{"'Sheet1'!$L$16"}</definedName>
    <definedName name="____h9" localSheetId="9" hidden="1">{"'Sheet1'!$L$16"}</definedName>
    <definedName name="____h9" hidden="1">{"'Sheet1'!$L$16"}</definedName>
    <definedName name="____hu1" localSheetId="3" hidden="1">{"'Sheet1'!$L$16"}</definedName>
    <definedName name="____hu1" localSheetId="9" hidden="1">{"'Sheet1'!$L$16"}</definedName>
    <definedName name="____hu1" hidden="1">{"'Sheet1'!$L$16"}</definedName>
    <definedName name="____hu2" localSheetId="3" hidden="1">{"'Sheet1'!$L$16"}</definedName>
    <definedName name="____hu2" localSheetId="9" hidden="1">{"'Sheet1'!$L$16"}</definedName>
    <definedName name="____hu2" hidden="1">{"'Sheet1'!$L$16"}</definedName>
    <definedName name="____hu5" localSheetId="3" hidden="1">{"'Sheet1'!$L$16"}</definedName>
    <definedName name="____hu5" localSheetId="9" hidden="1">{"'Sheet1'!$L$16"}</definedName>
    <definedName name="____hu5" hidden="1">{"'Sheet1'!$L$16"}</definedName>
    <definedName name="____hu6" localSheetId="3" hidden="1">{"'Sheet1'!$L$16"}</definedName>
    <definedName name="____hu6" localSheetId="9" hidden="1">{"'Sheet1'!$L$16"}</definedName>
    <definedName name="____hu6" hidden="1">{"'Sheet1'!$L$16"}</definedName>
    <definedName name="____hu7" localSheetId="3" hidden="1">{"'Sheet1'!$L$16"}</definedName>
    <definedName name="____hu7" localSheetId="9" hidden="1">{"'Sheet1'!$L$16"}</definedName>
    <definedName name="____hu7" hidden="1">{"'Sheet1'!$L$16"}</definedName>
    <definedName name="____KCM1" localSheetId="3" hidden="1">{"'Sheet1'!$L$16"}</definedName>
    <definedName name="____KCM1" localSheetId="9" hidden="1">{"'Sheet1'!$L$16"}</definedName>
    <definedName name="____KCM1" hidden="1">{"'Sheet1'!$L$16"}</definedName>
    <definedName name="____Lan1" localSheetId="3" hidden="1">{"'Sheet1'!$L$16"}</definedName>
    <definedName name="____Lan1" localSheetId="9" hidden="1">{"'Sheet1'!$L$16"}</definedName>
    <definedName name="____Lan1" hidden="1">{"'Sheet1'!$L$16"}</definedName>
    <definedName name="____LAN3" localSheetId="3" hidden="1">{"'Sheet1'!$L$16"}</definedName>
    <definedName name="____LAN3" localSheetId="9" hidden="1">{"'Sheet1'!$L$16"}</definedName>
    <definedName name="____LAN3" hidden="1">{"'Sheet1'!$L$16"}</definedName>
    <definedName name="____M2" localSheetId="3" hidden="1">{"'Sheet1'!$L$16"}</definedName>
    <definedName name="____M2" localSheetId="9" hidden="1">{"'Sheet1'!$L$16"}</definedName>
    <definedName name="____M2" hidden="1">{"'Sheet1'!$L$16"}</definedName>
    <definedName name="____ns02" localSheetId="3" hidden="1">{"'Sheet1'!$L$16"}</definedName>
    <definedName name="____ns02" localSheetId="9" hidden="1">{"'Sheet1'!$L$16"}</definedName>
    <definedName name="____ns02" hidden="1">{"'Sheet1'!$L$16"}</definedName>
    <definedName name="____NSO2" localSheetId="3" hidden="1">{"'Sheet1'!$L$16"}</definedName>
    <definedName name="____NSO2" localSheetId="9" hidden="1">{"'Sheet1'!$L$16"}</definedName>
    <definedName name="____NSO2" hidden="1">{"'Sheet1'!$L$16"}</definedName>
    <definedName name="____PA3" localSheetId="3" hidden="1">{"'Sheet1'!$L$16"}</definedName>
    <definedName name="____PA3" localSheetId="9" hidden="1">{"'Sheet1'!$L$16"}</definedName>
    <definedName name="____PA3" hidden="1">{"'Sheet1'!$L$16"}</definedName>
    <definedName name="____T10" localSheetId="3" hidden="1">{"'Sheet1'!$L$16"}</definedName>
    <definedName name="____T10" localSheetId="9" hidden="1">{"'Sheet1'!$L$16"}</definedName>
    <definedName name="____T10" hidden="1">{"'Sheet1'!$L$16"}</definedName>
    <definedName name="____tb2" localSheetId="3" hidden="1">{"'Sheet1'!$L$16"}</definedName>
    <definedName name="____tb2" localSheetId="9" hidden="1">{"'Sheet1'!$L$16"}</definedName>
    <definedName name="____tb2" hidden="1">{"'Sheet1'!$L$16"}</definedName>
    <definedName name="____TM2" localSheetId="3" hidden="1">{"'Sheet1'!$L$16"}</definedName>
    <definedName name="____TM2" localSheetId="9" hidden="1">{"'Sheet1'!$L$16"}</definedName>
    <definedName name="____TM2" hidden="1">{"'Sheet1'!$L$16"}</definedName>
    <definedName name="____tt3" localSheetId="3" hidden="1">{"'Sheet1'!$L$16"}</definedName>
    <definedName name="____tt3" localSheetId="9" hidden="1">{"'Sheet1'!$L$16"}</definedName>
    <definedName name="____tt3" hidden="1">{"'Sheet1'!$L$16"}</definedName>
    <definedName name="____vl2" localSheetId="3" hidden="1">{"'Sheet1'!$L$16"}</definedName>
    <definedName name="____vl2" localSheetId="9" hidden="1">{"'Sheet1'!$L$16"}</definedName>
    <definedName name="____vl2" hidden="1">{"'Sheet1'!$L$16"}</definedName>
    <definedName name="___a1" localSheetId="3" hidden="1">{"'Sheet1'!$L$16"}</definedName>
    <definedName name="___a1" localSheetId="9" hidden="1">{"'Sheet1'!$L$16"}</definedName>
    <definedName name="___a1" hidden="1">{"'Sheet1'!$L$16"}</definedName>
    <definedName name="__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a129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a129" hidden="1">{"Offgrid",#N/A,FALSE,"OFFGRID";"Region",#N/A,FALSE,"REGION";"Offgrid -2",#N/A,FALSE,"OFFGRID";"WTP",#N/A,FALSE,"WTP";"WTP -2",#N/A,FALSE,"WTP";"Project",#N/A,FALSE,"PROJECT";"Summary -2",#N/A,FALSE,"SUMMARY"}</definedName>
    <definedName name="__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a130" localSheetId="9" hidden="1">{"Offgrid",#N/A,FALSE,"OFFGRID";"Region",#N/A,FALSE,"REGION";"Offgrid -2",#N/A,FALSE,"OFFGRID";"WTP",#N/A,FALSE,"WTP";"WTP -2",#N/A,FALSE,"WTP";"Project",#N/A,FALSE,"PROJECT";"Summary -2",#N/A,FALSE,"SUMMARY"}</definedName>
    <definedName name="___a130" hidden="1">{"Offgrid",#N/A,FALSE,"OFFGRID";"Region",#N/A,FALSE,"REGION";"Offgrid -2",#N/A,FALSE,"OFFGRID";"WTP",#N/A,FALSE,"WTP";"WTP -2",#N/A,FALSE,"WTP";"Project",#N/A,FALSE,"PROJECT";"Summary -2",#N/A,FALSE,"SUMMARY"}</definedName>
    <definedName name="___a2" localSheetId="3" hidden="1">{"'Sheet1'!$L$16"}</definedName>
    <definedName name="___a2" localSheetId="9" hidden="1">{"'Sheet1'!$L$16"}</definedName>
    <definedName name="___a2" hidden="1">{"'Sheet1'!$L$16"}</definedName>
    <definedName name="___a3" localSheetId="3" hidden="1">{"'Sheet1'!$L$16"}</definedName>
    <definedName name="___a3" localSheetId="9" hidden="1">{"'Sheet1'!$L$16"}</definedName>
    <definedName name="___a3" hidden="1">{"'Sheet1'!$L$16"}</definedName>
    <definedName name="___d1500" localSheetId="3" hidden="1">{"'Sheet1'!$L$16"}</definedName>
    <definedName name="___d1500" localSheetId="9" hidden="1">{"'Sheet1'!$L$16"}</definedName>
    <definedName name="___d1500" hidden="1">{"'Sheet1'!$L$16"}</definedName>
    <definedName name="___d1600" localSheetId="3" hidden="1">{"'Sheet1'!$L$16"}</definedName>
    <definedName name="___d1600" localSheetId="9" hidden="1">{"'Sheet1'!$L$16"}</definedName>
    <definedName name="___d1600" hidden="1">{"'Sheet1'!$L$16"}</definedName>
    <definedName name="___f5" localSheetId="3" hidden="1">{"'Sheet1'!$L$16"}</definedName>
    <definedName name="___f5" localSheetId="9" hidden="1">{"'Sheet1'!$L$16"}</definedName>
    <definedName name="___f5" hidden="1">{"'Sheet1'!$L$16"}</definedName>
    <definedName name="___go8" localSheetId="3" hidden="1">{"'Sheet1'!$L$16"}</definedName>
    <definedName name="___go8" localSheetId="9" hidden="1">{"'Sheet1'!$L$16"}</definedName>
    <definedName name="___go8" hidden="1">{"'Sheet1'!$L$16"}</definedName>
    <definedName name="___Goi8" localSheetId="3" hidden="1">{"'Sheet1'!$L$16"}</definedName>
    <definedName name="___Goi8" localSheetId="9" hidden="1">{"'Sheet1'!$L$16"}</definedName>
    <definedName name="___Goi8" hidden="1">{"'Sheet1'!$L$16"}</definedName>
    <definedName name="___h1" localSheetId="3" hidden="1">{"'Sheet1'!$L$16"}</definedName>
    <definedName name="___h1" localSheetId="9" hidden="1">{"'Sheet1'!$L$16"}</definedName>
    <definedName name="___h1" hidden="1">{"'Sheet1'!$L$16"}</definedName>
    <definedName name="___h10" localSheetId="3" hidden="1">{#N/A,#N/A,FALSE,"Chi tiÆt"}</definedName>
    <definedName name="___h10" localSheetId="9" hidden="1">{#N/A,#N/A,FALSE,"Chi tiÆt"}</definedName>
    <definedName name="___h10" hidden="1">{#N/A,#N/A,FALSE,"Chi tiÆt"}</definedName>
    <definedName name="___h2" localSheetId="3" hidden="1">{"'Sheet1'!$L$16"}</definedName>
    <definedName name="___h2" localSheetId="9" hidden="1">{"'Sheet1'!$L$16"}</definedName>
    <definedName name="___h2" hidden="1">{"'Sheet1'!$L$16"}</definedName>
    <definedName name="___h3" localSheetId="3" hidden="1">{"'Sheet1'!$L$16"}</definedName>
    <definedName name="___h3" localSheetId="9" hidden="1">{"'Sheet1'!$L$16"}</definedName>
    <definedName name="___h3" hidden="1">{"'Sheet1'!$L$16"}</definedName>
    <definedName name="___h5" localSheetId="3" hidden="1">{"'Sheet1'!$L$16"}</definedName>
    <definedName name="___h5" localSheetId="9" hidden="1">{"'Sheet1'!$L$16"}</definedName>
    <definedName name="___h5" hidden="1">{"'Sheet1'!$L$16"}</definedName>
    <definedName name="___h6" localSheetId="3" hidden="1">{"'Sheet1'!$L$16"}</definedName>
    <definedName name="___h6" localSheetId="9" hidden="1">{"'Sheet1'!$L$16"}</definedName>
    <definedName name="___h6" hidden="1">{"'Sheet1'!$L$16"}</definedName>
    <definedName name="___h7" localSheetId="3" hidden="1">{"'Sheet1'!$L$16"}</definedName>
    <definedName name="___h7" localSheetId="9" hidden="1">{"'Sheet1'!$L$16"}</definedName>
    <definedName name="___h7" hidden="1">{"'Sheet1'!$L$16"}</definedName>
    <definedName name="___h8" localSheetId="3" hidden="1">{"'Sheet1'!$L$16"}</definedName>
    <definedName name="___h8" localSheetId="9" hidden="1">{"'Sheet1'!$L$16"}</definedName>
    <definedName name="___h8" hidden="1">{"'Sheet1'!$L$16"}</definedName>
    <definedName name="___h9" localSheetId="3" hidden="1">{"'Sheet1'!$L$16"}</definedName>
    <definedName name="___h9" localSheetId="9" hidden="1">{"'Sheet1'!$L$16"}</definedName>
    <definedName name="___h9" hidden="1">{"'Sheet1'!$L$16"}</definedName>
    <definedName name="___hu1" localSheetId="3" hidden="1">{"'Sheet1'!$L$16"}</definedName>
    <definedName name="___hu1" localSheetId="9" hidden="1">{"'Sheet1'!$L$16"}</definedName>
    <definedName name="___hu1" hidden="1">{"'Sheet1'!$L$16"}</definedName>
    <definedName name="___hu2" localSheetId="3" hidden="1">{"'Sheet1'!$L$16"}</definedName>
    <definedName name="___hu2" localSheetId="9" hidden="1">{"'Sheet1'!$L$16"}</definedName>
    <definedName name="___hu2" hidden="1">{"'Sheet1'!$L$16"}</definedName>
    <definedName name="___hu5" localSheetId="3" hidden="1">{"'Sheet1'!$L$16"}</definedName>
    <definedName name="___hu5" localSheetId="9" hidden="1">{"'Sheet1'!$L$16"}</definedName>
    <definedName name="___hu5" hidden="1">{"'Sheet1'!$L$16"}</definedName>
    <definedName name="___hu6" localSheetId="3" hidden="1">{"'Sheet1'!$L$16"}</definedName>
    <definedName name="___hu6" localSheetId="9" hidden="1">{"'Sheet1'!$L$16"}</definedName>
    <definedName name="___hu6" hidden="1">{"'Sheet1'!$L$16"}</definedName>
    <definedName name="___hu7" localSheetId="3" hidden="1">{"'Sheet1'!$L$16"}</definedName>
    <definedName name="___hu7" localSheetId="9" hidden="1">{"'Sheet1'!$L$16"}</definedName>
    <definedName name="___hu7" hidden="1">{"'Sheet1'!$L$16"}</definedName>
    <definedName name="___KCM1" localSheetId="3" hidden="1">{"'Sheet1'!$L$16"}</definedName>
    <definedName name="___KCM1" localSheetId="9" hidden="1">{"'Sheet1'!$L$16"}</definedName>
    <definedName name="___KCM1" hidden="1">{"'Sheet1'!$L$16"}</definedName>
    <definedName name="___Lan1" localSheetId="3" hidden="1">{"'Sheet1'!$L$16"}</definedName>
    <definedName name="___Lan1" localSheetId="9" hidden="1">{"'Sheet1'!$L$16"}</definedName>
    <definedName name="___Lan1" hidden="1">{"'Sheet1'!$L$16"}</definedName>
    <definedName name="___LAN3" localSheetId="3" hidden="1">{"'Sheet1'!$L$16"}</definedName>
    <definedName name="___LAN3" localSheetId="9" hidden="1">{"'Sheet1'!$L$16"}</definedName>
    <definedName name="___LAN3" hidden="1">{"'Sheet1'!$L$16"}</definedName>
    <definedName name="___M2" localSheetId="3" hidden="1">{"'Sheet1'!$L$16"}</definedName>
    <definedName name="___M2" localSheetId="9" hidden="1">{"'Sheet1'!$L$16"}</definedName>
    <definedName name="___M2" hidden="1">{"'Sheet1'!$L$16"}</definedName>
    <definedName name="___ns02" localSheetId="3" hidden="1">{"'Sheet1'!$L$16"}</definedName>
    <definedName name="___ns02" localSheetId="9" hidden="1">{"'Sheet1'!$L$16"}</definedName>
    <definedName name="___ns02" hidden="1">{"'Sheet1'!$L$16"}</definedName>
    <definedName name="___NSO2" localSheetId="3" hidden="1">{"'Sheet1'!$L$16"}</definedName>
    <definedName name="___NSO2" localSheetId="9" hidden="1">{"'Sheet1'!$L$16"}</definedName>
    <definedName name="___NSO2" hidden="1">{"'Sheet1'!$L$16"}</definedName>
    <definedName name="___PA3" localSheetId="3" hidden="1">{"'Sheet1'!$L$16"}</definedName>
    <definedName name="___PA3" localSheetId="9" hidden="1">{"'Sheet1'!$L$16"}</definedName>
    <definedName name="___PA3" hidden="1">{"'Sheet1'!$L$16"}</definedName>
    <definedName name="___T10" localSheetId="3" hidden="1">{"'Sheet1'!$L$16"}</definedName>
    <definedName name="___T10" localSheetId="9" hidden="1">{"'Sheet1'!$L$16"}</definedName>
    <definedName name="___T10" hidden="1">{"'Sheet1'!$L$16"}</definedName>
    <definedName name="___tb2" localSheetId="3" hidden="1">{"'Sheet1'!$L$16"}</definedName>
    <definedName name="___tb2" localSheetId="9" hidden="1">{"'Sheet1'!$L$16"}</definedName>
    <definedName name="___tb2" hidden="1">{"'Sheet1'!$L$16"}</definedName>
    <definedName name="___TM2" localSheetId="3" hidden="1">{"'Sheet1'!$L$16"}</definedName>
    <definedName name="___TM2" localSheetId="9" hidden="1">{"'Sheet1'!$L$16"}</definedName>
    <definedName name="___TM2" hidden="1">{"'Sheet1'!$L$16"}</definedName>
    <definedName name="___tt3" localSheetId="3" hidden="1">{"'Sheet1'!$L$16"}</definedName>
    <definedName name="___tt3" localSheetId="9" hidden="1">{"'Sheet1'!$L$16"}</definedName>
    <definedName name="___tt3" hidden="1">{"'Sheet1'!$L$16"}</definedName>
    <definedName name="___vl2" localSheetId="3" hidden="1">{"'Sheet1'!$L$16"}</definedName>
    <definedName name="___vl2" localSheetId="9" hidden="1">{"'Sheet1'!$L$16"}</definedName>
    <definedName name="___vl2" hidden="1">{"'Sheet1'!$L$16"}</definedName>
    <definedName name="__a1" localSheetId="3" hidden="1">{"'Sheet1'!$L$16"}</definedName>
    <definedName name="__a1" localSheetId="9" hidden="1">{"'Sheet1'!$L$16"}</definedName>
    <definedName name="__a1" hidden="1">{"'Sheet1'!$L$16"}</definedName>
    <definedName name="_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_a129" localSheetId="9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a2" localSheetId="3" hidden="1">{"'Sheet1'!$L$16"}</definedName>
    <definedName name="__a2" localSheetId="9" hidden="1">{"'Sheet1'!$L$16"}</definedName>
    <definedName name="__a2" hidden="1">{"'Sheet1'!$L$16"}</definedName>
    <definedName name="__a3" localSheetId="3" hidden="1">{"'Sheet1'!$L$16"}</definedName>
    <definedName name="__a3" localSheetId="9" hidden="1">{"'Sheet1'!$L$16"}</definedName>
    <definedName name="__a3" hidden="1">{"'Sheet1'!$L$16"}</definedName>
    <definedName name="__d1500" localSheetId="3" hidden="1">{"'Sheet1'!$L$16"}</definedName>
    <definedName name="__d1500" localSheetId="9" hidden="1">{"'Sheet1'!$L$16"}</definedName>
    <definedName name="__d1500" hidden="1">{"'Sheet1'!$L$16"}</definedName>
    <definedName name="__d1600" localSheetId="3" hidden="1">{"'Sheet1'!$L$16"}</definedName>
    <definedName name="__d1600" localSheetId="9" hidden="1">{"'Sheet1'!$L$16"}</definedName>
    <definedName name="__d1600" hidden="1">{"'Sheet1'!$L$16"}</definedName>
    <definedName name="__f5" localSheetId="3" hidden="1">{"'Sheet1'!$L$16"}</definedName>
    <definedName name="__f5" localSheetId="9" hidden="1">{"'Sheet1'!$L$16"}</definedName>
    <definedName name="__f5" hidden="1">{"'Sheet1'!$L$16"}</definedName>
    <definedName name="__go8" localSheetId="3" hidden="1">{"'Sheet1'!$L$16"}</definedName>
    <definedName name="__go8" localSheetId="9" hidden="1">{"'Sheet1'!$L$16"}</definedName>
    <definedName name="__go8" hidden="1">{"'Sheet1'!$L$16"}</definedName>
    <definedName name="__Goi8" localSheetId="3" hidden="1">{"'Sheet1'!$L$16"}</definedName>
    <definedName name="__Goi8" localSheetId="9" hidden="1">{"'Sheet1'!$L$16"}</definedName>
    <definedName name="__Goi8" hidden="1">{"'Sheet1'!$L$16"}</definedName>
    <definedName name="__h1" localSheetId="3" hidden="1">{"'Sheet1'!$L$16"}</definedName>
    <definedName name="__h1" localSheetId="9" hidden="1">{"'Sheet1'!$L$16"}</definedName>
    <definedName name="__h1" hidden="1">{"'Sheet1'!$L$16"}</definedName>
    <definedName name="__h10" localSheetId="3" hidden="1">{#N/A,#N/A,FALSE,"Chi tiÆt"}</definedName>
    <definedName name="__h10" localSheetId="9" hidden="1">{#N/A,#N/A,FALSE,"Chi tiÆt"}</definedName>
    <definedName name="__h10" hidden="1">{#N/A,#N/A,FALSE,"Chi tiÆt"}</definedName>
    <definedName name="__h2" localSheetId="3" hidden="1">{"'Sheet1'!$L$16"}</definedName>
    <definedName name="__h2" localSheetId="9" hidden="1">{"'Sheet1'!$L$16"}</definedName>
    <definedName name="__h2" hidden="1">{"'Sheet1'!$L$16"}</definedName>
    <definedName name="__h3" localSheetId="3" hidden="1">{"'Sheet1'!$L$16"}</definedName>
    <definedName name="__h3" localSheetId="9" hidden="1">{"'Sheet1'!$L$16"}</definedName>
    <definedName name="__h3" hidden="1">{"'Sheet1'!$L$16"}</definedName>
    <definedName name="__h5" localSheetId="3" hidden="1">{"'Sheet1'!$L$16"}</definedName>
    <definedName name="__h5" localSheetId="9" hidden="1">{"'Sheet1'!$L$16"}</definedName>
    <definedName name="__h5" hidden="1">{"'Sheet1'!$L$16"}</definedName>
    <definedName name="__h6" localSheetId="3" hidden="1">{"'Sheet1'!$L$16"}</definedName>
    <definedName name="__h6" localSheetId="9" hidden="1">{"'Sheet1'!$L$16"}</definedName>
    <definedName name="__h6" hidden="1">{"'Sheet1'!$L$16"}</definedName>
    <definedName name="__h7" localSheetId="3" hidden="1">{"'Sheet1'!$L$16"}</definedName>
    <definedName name="__h7" localSheetId="9" hidden="1">{"'Sheet1'!$L$16"}</definedName>
    <definedName name="__h7" hidden="1">{"'Sheet1'!$L$16"}</definedName>
    <definedName name="__h8" localSheetId="3" hidden="1">{"'Sheet1'!$L$16"}</definedName>
    <definedName name="__h8" localSheetId="9" hidden="1">{"'Sheet1'!$L$16"}</definedName>
    <definedName name="__h8" hidden="1">{"'Sheet1'!$L$16"}</definedName>
    <definedName name="__h9" localSheetId="3" hidden="1">{"'Sheet1'!$L$16"}</definedName>
    <definedName name="__h9" localSheetId="9" hidden="1">{"'Sheet1'!$L$16"}</definedName>
    <definedName name="__h9" hidden="1">{"'Sheet1'!$L$16"}</definedName>
    <definedName name="__hu1" localSheetId="3" hidden="1">{"'Sheet1'!$L$16"}</definedName>
    <definedName name="__hu1" localSheetId="9" hidden="1">{"'Sheet1'!$L$16"}</definedName>
    <definedName name="__hu1" hidden="1">{"'Sheet1'!$L$16"}</definedName>
    <definedName name="__hu2" localSheetId="3" hidden="1">{"'Sheet1'!$L$16"}</definedName>
    <definedName name="__hu2" localSheetId="9" hidden="1">{"'Sheet1'!$L$16"}</definedName>
    <definedName name="__hu2" hidden="1">{"'Sheet1'!$L$16"}</definedName>
    <definedName name="__hu5" localSheetId="3" hidden="1">{"'Sheet1'!$L$16"}</definedName>
    <definedName name="__hu5" localSheetId="9" hidden="1">{"'Sheet1'!$L$16"}</definedName>
    <definedName name="__hu5" hidden="1">{"'Sheet1'!$L$16"}</definedName>
    <definedName name="__hu6" localSheetId="3" hidden="1">{"'Sheet1'!$L$16"}</definedName>
    <definedName name="__hu6" localSheetId="9" hidden="1">{"'Sheet1'!$L$16"}</definedName>
    <definedName name="__hu6" hidden="1">{"'Sheet1'!$L$16"}</definedName>
    <definedName name="__hu7" localSheetId="3" hidden="1">{"'Sheet1'!$L$16"}</definedName>
    <definedName name="__hu7" localSheetId="9" hidden="1">{"'Sheet1'!$L$16"}</definedName>
    <definedName name="__hu7" hidden="1">{"'Sheet1'!$L$16"}</definedName>
    <definedName name="__IntlFixup" hidden="1">TRUE</definedName>
    <definedName name="__KCM1" localSheetId="3" hidden="1">{"'Sheet1'!$L$16"}</definedName>
    <definedName name="__KCM1" localSheetId="9" hidden="1">{"'Sheet1'!$L$16"}</definedName>
    <definedName name="__KCM1" hidden="1">{"'Sheet1'!$L$16"}</definedName>
    <definedName name="__Lan1" localSheetId="3" hidden="1">{"'Sheet1'!$L$16"}</definedName>
    <definedName name="__Lan1" localSheetId="9" hidden="1">{"'Sheet1'!$L$16"}</definedName>
    <definedName name="__Lan1" hidden="1">{"'Sheet1'!$L$16"}</definedName>
    <definedName name="__LAN3" localSheetId="3" hidden="1">{"'Sheet1'!$L$16"}</definedName>
    <definedName name="__LAN3" localSheetId="9" hidden="1">{"'Sheet1'!$L$16"}</definedName>
    <definedName name="__LAN3" hidden="1">{"'Sheet1'!$L$16"}</definedName>
    <definedName name="__M2" localSheetId="3" hidden="1">{"'Sheet1'!$L$16"}</definedName>
    <definedName name="__M2" localSheetId="9" hidden="1">{"'Sheet1'!$L$16"}</definedName>
    <definedName name="__M2" hidden="1">{"'Sheet1'!$L$16"}</definedName>
    <definedName name="__ns02" localSheetId="3" hidden="1">{"'Sheet1'!$L$16"}</definedName>
    <definedName name="__ns02" localSheetId="9" hidden="1">{"'Sheet1'!$L$16"}</definedName>
    <definedName name="__ns02" hidden="1">{"'Sheet1'!$L$16"}</definedName>
    <definedName name="__NSO2" localSheetId="3" hidden="1">{"'Sheet1'!$L$16"}</definedName>
    <definedName name="__NSO2" localSheetId="9" hidden="1">{"'Sheet1'!$L$16"}</definedName>
    <definedName name="__NSO2" hidden="1">{"'Sheet1'!$L$16"}</definedName>
    <definedName name="__PA3" localSheetId="3" hidden="1">{"'Sheet1'!$L$16"}</definedName>
    <definedName name="__PA3" localSheetId="9" hidden="1">{"'Sheet1'!$L$16"}</definedName>
    <definedName name="__PA3" hidden="1">{"'Sheet1'!$L$16"}</definedName>
    <definedName name="__T10" localSheetId="3" hidden="1">{"'Sheet1'!$L$16"}</definedName>
    <definedName name="__T10" localSheetId="9" hidden="1">{"'Sheet1'!$L$16"}</definedName>
    <definedName name="__T10" hidden="1">{"'Sheet1'!$L$16"}</definedName>
    <definedName name="__tb2" localSheetId="3" hidden="1">{"'Sheet1'!$L$16"}</definedName>
    <definedName name="__tb2" localSheetId="9" hidden="1">{"'Sheet1'!$L$16"}</definedName>
    <definedName name="__tb2" hidden="1">{"'Sheet1'!$L$16"}</definedName>
    <definedName name="__TM2" localSheetId="3" hidden="1">{"'Sheet1'!$L$16"}</definedName>
    <definedName name="__TM2" localSheetId="9" hidden="1">{"'Sheet1'!$L$16"}</definedName>
    <definedName name="__TM2" hidden="1">{"'Sheet1'!$L$16"}</definedName>
    <definedName name="__tt3" localSheetId="3" hidden="1">{"'Sheet1'!$L$16"}</definedName>
    <definedName name="__tt3" localSheetId="9" hidden="1">{"'Sheet1'!$L$16"}</definedName>
    <definedName name="__tt3" hidden="1">{"'Sheet1'!$L$16"}</definedName>
    <definedName name="__vl2" localSheetId="3" hidden="1">{"'Sheet1'!$L$16"}</definedName>
    <definedName name="__vl2" localSheetId="9" hidden="1">{"'Sheet1'!$L$16"}</definedName>
    <definedName name="__vl2" hidden="1">{"'Sheet1'!$L$16"}</definedName>
    <definedName name="_a1" localSheetId="3" hidden="1">{"'Sheet1'!$L$16"}</definedName>
    <definedName name="_a1" localSheetId="9" hidden="1">{"'Sheet1'!$L$16"}</definedName>
    <definedName name="_a1" hidden="1">{"'Sheet1'!$L$16"}</definedName>
    <definedName name="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a129" localSheetId="9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localSheetId="3" hidden="1">{"'Sheet1'!$L$16"}</definedName>
    <definedName name="_a2" localSheetId="9" hidden="1">{"'Sheet1'!$L$16"}</definedName>
    <definedName name="_a2" hidden="1">{"'Sheet1'!$L$16"}</definedName>
    <definedName name="_a3" localSheetId="3" hidden="1">{"'Sheet1'!$L$16"}</definedName>
    <definedName name="_a3" localSheetId="9" hidden="1">{"'Sheet1'!$L$16"}</definedName>
    <definedName name="_a3" hidden="1">{"'Sheet1'!$L$16"}</definedName>
    <definedName name="_Builtin0" localSheetId="5" hidden="1">#REF!</definedName>
    <definedName name="_Builtin0" localSheetId="3" hidden="1">#REF!</definedName>
    <definedName name="_Builtin0" localSheetId="9" hidden="1">#REF!</definedName>
    <definedName name="_Builtin0" localSheetId="0" hidden="1">#REF!</definedName>
    <definedName name="_Builtin0" localSheetId="7" hidden="1">#REF!</definedName>
    <definedName name="_Builtin0" localSheetId="2" hidden="1">#REF!</definedName>
    <definedName name="_Builtin0" localSheetId="8" hidden="1">#REF!</definedName>
    <definedName name="_Builtin0" hidden="1">#REF!</definedName>
    <definedName name="_d1500" localSheetId="3" hidden="1">{"'Sheet1'!$L$16"}</definedName>
    <definedName name="_d1500" localSheetId="9" hidden="1">{"'Sheet1'!$L$16"}</definedName>
    <definedName name="_d1500" hidden="1">{"'Sheet1'!$L$16"}</definedName>
    <definedName name="_d1600" localSheetId="3" hidden="1">{"'Sheet1'!$L$16"}</definedName>
    <definedName name="_d1600" localSheetId="9" hidden="1">{"'Sheet1'!$L$16"}</definedName>
    <definedName name="_d1600" hidden="1">{"'Sheet1'!$L$16"}</definedName>
    <definedName name="_f5" localSheetId="3" hidden="1">{"'Sheet1'!$L$16"}</definedName>
    <definedName name="_f5" localSheetId="9" hidden="1">{"'Sheet1'!$L$16"}</definedName>
    <definedName name="_f5" hidden="1">{"'Sheet1'!$L$16"}</definedName>
    <definedName name="_Fill" localSheetId="5" hidden="1">#REF!</definedName>
    <definedName name="_Fill" localSheetId="3" hidden="1">#REF!</definedName>
    <definedName name="_Fill" localSheetId="9" hidden="1">#REF!</definedName>
    <definedName name="_Fill" localSheetId="0" hidden="1">#REF!</definedName>
    <definedName name="_Fill" localSheetId="7" hidden="1">#REF!</definedName>
    <definedName name="_Fill" localSheetId="2" hidden="1">#REF!</definedName>
    <definedName name="_Fill" localSheetId="8" hidden="1">#REF!</definedName>
    <definedName name="_Fill" hidden="1">#REF!</definedName>
    <definedName name="_xlnm._FilterDatabase" localSheetId="6" hidden="1">'Biểu 6 Nợ đọng XDCB-nợ thực'!$A$6:$O$298</definedName>
    <definedName name="_xlnm._FilterDatabase" localSheetId="5" hidden="1">#REF!</definedName>
    <definedName name="_xlnm._FilterDatabase" localSheetId="3" hidden="1">'DT CHI 2023'!$A$8:$G$39</definedName>
    <definedName name="_xlnm._FilterDatabase" localSheetId="9" hidden="1">'DT CHI 2023 (6th CN)'!$A$8:$E$39</definedName>
    <definedName name="_xlnm._FilterDatabase" localSheetId="0" hidden="1">#REF!</definedName>
    <definedName name="_xlnm._FilterDatabase" localSheetId="7" hidden="1">#REF!</definedName>
    <definedName name="_xlnm._FilterDatabase" localSheetId="2" hidden="1">'thu phí,lệ phí, khac 2023'!$A$7:$I$23</definedName>
    <definedName name="_xlnm._FilterDatabase" localSheetId="8" hidden="1">'thu phí,lệ phí, khac 6 tháng CN'!$A$7:$I$22</definedName>
    <definedName name="_xlnm._FilterDatabase" hidden="1">#REF!</definedName>
    <definedName name="_go8" localSheetId="3" hidden="1">{"'Sheet1'!$L$16"}</definedName>
    <definedName name="_go8" localSheetId="9" hidden="1">{"'Sheet1'!$L$16"}</definedName>
    <definedName name="_go8" hidden="1">{"'Sheet1'!$L$16"}</definedName>
    <definedName name="_Goi8" localSheetId="3" hidden="1">{"'Sheet1'!$L$16"}</definedName>
    <definedName name="_Goi8" localSheetId="9" hidden="1">{"'Sheet1'!$L$16"}</definedName>
    <definedName name="_Goi8" hidden="1">{"'Sheet1'!$L$16"}</definedName>
    <definedName name="_h1" localSheetId="3" hidden="1">{"'Sheet1'!$L$16"}</definedName>
    <definedName name="_h1" localSheetId="9" hidden="1">{"'Sheet1'!$L$16"}</definedName>
    <definedName name="_h1" hidden="1">{"'Sheet1'!$L$16"}</definedName>
    <definedName name="_h10" localSheetId="3" hidden="1">{#N/A,#N/A,FALSE,"Chi tiÆt"}</definedName>
    <definedName name="_h10" localSheetId="9" hidden="1">{#N/A,#N/A,FALSE,"Chi tiÆt"}</definedName>
    <definedName name="_h10" hidden="1">{#N/A,#N/A,FALSE,"Chi tiÆt"}</definedName>
    <definedName name="_h2" localSheetId="3" hidden="1">{"'Sheet1'!$L$16"}</definedName>
    <definedName name="_h2" localSheetId="9" hidden="1">{"'Sheet1'!$L$16"}</definedName>
    <definedName name="_h2" hidden="1">{"'Sheet1'!$L$16"}</definedName>
    <definedName name="_h3" localSheetId="3" hidden="1">{"'Sheet1'!$L$16"}</definedName>
    <definedName name="_h3" localSheetId="9" hidden="1">{"'Sheet1'!$L$16"}</definedName>
    <definedName name="_h3" hidden="1">{"'Sheet1'!$L$16"}</definedName>
    <definedName name="_h5" localSheetId="3" hidden="1">{"'Sheet1'!$L$16"}</definedName>
    <definedName name="_h5" localSheetId="9" hidden="1">{"'Sheet1'!$L$16"}</definedName>
    <definedName name="_h5" hidden="1">{"'Sheet1'!$L$16"}</definedName>
    <definedName name="_h6" localSheetId="3" hidden="1">{"'Sheet1'!$L$16"}</definedName>
    <definedName name="_h6" localSheetId="9" hidden="1">{"'Sheet1'!$L$16"}</definedName>
    <definedName name="_h6" hidden="1">{"'Sheet1'!$L$16"}</definedName>
    <definedName name="_h7" localSheetId="3" hidden="1">{"'Sheet1'!$L$16"}</definedName>
    <definedName name="_h7" localSheetId="9" hidden="1">{"'Sheet1'!$L$16"}</definedName>
    <definedName name="_h7" hidden="1">{"'Sheet1'!$L$16"}</definedName>
    <definedName name="_h8" localSheetId="3" hidden="1">{"'Sheet1'!$L$16"}</definedName>
    <definedName name="_h8" localSheetId="9" hidden="1">{"'Sheet1'!$L$16"}</definedName>
    <definedName name="_h8" hidden="1">{"'Sheet1'!$L$16"}</definedName>
    <definedName name="_h9" localSheetId="3" hidden="1">{"'Sheet1'!$L$16"}</definedName>
    <definedName name="_h9" localSheetId="9" hidden="1">{"'Sheet1'!$L$16"}</definedName>
    <definedName name="_h9" hidden="1">{"'Sheet1'!$L$16"}</definedName>
    <definedName name="_hu1" localSheetId="3" hidden="1">{"'Sheet1'!$L$16"}</definedName>
    <definedName name="_hu1" localSheetId="9" hidden="1">{"'Sheet1'!$L$16"}</definedName>
    <definedName name="_hu1" hidden="1">{"'Sheet1'!$L$16"}</definedName>
    <definedName name="_hu2" localSheetId="3" hidden="1">{"'Sheet1'!$L$16"}</definedName>
    <definedName name="_hu2" localSheetId="9" hidden="1">{"'Sheet1'!$L$16"}</definedName>
    <definedName name="_hu2" hidden="1">{"'Sheet1'!$L$16"}</definedName>
    <definedName name="_hu5" localSheetId="3" hidden="1">{"'Sheet1'!$L$16"}</definedName>
    <definedName name="_hu5" localSheetId="9" hidden="1">{"'Sheet1'!$L$16"}</definedName>
    <definedName name="_hu5" hidden="1">{"'Sheet1'!$L$16"}</definedName>
    <definedName name="_hu6" localSheetId="3" hidden="1">{"'Sheet1'!$L$16"}</definedName>
    <definedName name="_hu6" localSheetId="9" hidden="1">{"'Sheet1'!$L$16"}</definedName>
    <definedName name="_hu6" hidden="1">{"'Sheet1'!$L$16"}</definedName>
    <definedName name="_hu7" localSheetId="3" hidden="1">{"'Sheet1'!$L$16"}</definedName>
    <definedName name="_hu7" localSheetId="9" hidden="1">{"'Sheet1'!$L$16"}</definedName>
    <definedName name="_hu7" hidden="1">{"'Sheet1'!$L$16"}</definedName>
    <definedName name="_KCM1" localSheetId="3" hidden="1">{"'Sheet1'!$L$16"}</definedName>
    <definedName name="_KCM1" localSheetId="9" hidden="1">{"'Sheet1'!$L$16"}</definedName>
    <definedName name="_KCM1" hidden="1">{"'Sheet1'!$L$16"}</definedName>
    <definedName name="_Key1" localSheetId="5" hidden="1">#REF!</definedName>
    <definedName name="_Key1" localSheetId="3" hidden="1">#REF!</definedName>
    <definedName name="_Key1" localSheetId="9" hidden="1">#REF!</definedName>
    <definedName name="_Key1" localSheetId="0" hidden="1">#REF!</definedName>
    <definedName name="_Key1" localSheetId="7" hidden="1">#REF!</definedName>
    <definedName name="_Key1" localSheetId="2" hidden="1">#REF!</definedName>
    <definedName name="_Key1" localSheetId="8" hidden="1">#REF!</definedName>
    <definedName name="_Key1" hidden="1">#REF!</definedName>
    <definedName name="_Key2" localSheetId="5" hidden="1">#REF!</definedName>
    <definedName name="_Key2" localSheetId="3" hidden="1">#REF!</definedName>
    <definedName name="_Key2" localSheetId="9" hidden="1">#REF!</definedName>
    <definedName name="_Key2" localSheetId="0" hidden="1">#REF!</definedName>
    <definedName name="_Key2" localSheetId="7" hidden="1">#REF!</definedName>
    <definedName name="_Key2" localSheetId="2" hidden="1">#REF!</definedName>
    <definedName name="_Key2" localSheetId="8" hidden="1">#REF!</definedName>
    <definedName name="_Key2" hidden="1">#REF!</definedName>
    <definedName name="_Lan1" localSheetId="3" hidden="1">{"'Sheet1'!$L$16"}</definedName>
    <definedName name="_Lan1" localSheetId="9" hidden="1">{"'Sheet1'!$L$16"}</definedName>
    <definedName name="_Lan1" hidden="1">{"'Sheet1'!$L$16"}</definedName>
    <definedName name="_LAN3" localSheetId="3" hidden="1">{"'Sheet1'!$L$16"}</definedName>
    <definedName name="_LAN3" localSheetId="9" hidden="1">{"'Sheet1'!$L$16"}</definedName>
    <definedName name="_LAN3" hidden="1">{"'Sheet1'!$L$16"}</definedName>
    <definedName name="_M2" localSheetId="3" hidden="1">{"'Sheet1'!$L$16"}</definedName>
    <definedName name="_M2" localSheetId="9" hidden="1">{"'Sheet1'!$L$16"}</definedName>
    <definedName name="_M2" hidden="1">{"'Sheet1'!$L$16"}</definedName>
    <definedName name="_ns02" localSheetId="3" hidden="1">{"'Sheet1'!$L$16"}</definedName>
    <definedName name="_ns02" localSheetId="9" hidden="1">{"'Sheet1'!$L$16"}</definedName>
    <definedName name="_ns02" hidden="1">{"'Sheet1'!$L$16"}</definedName>
    <definedName name="_NSO2" localSheetId="3" hidden="1">{"'Sheet1'!$L$16"}</definedName>
    <definedName name="_NSO2" localSheetId="9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3" hidden="1">{"'Sheet1'!$L$16"}</definedName>
    <definedName name="_PA3" localSheetId="9" hidden="1">{"'Sheet1'!$L$16"}</definedName>
    <definedName name="_PA3" hidden="1">{"'Sheet1'!$L$16"}</definedName>
    <definedName name="_Sort" localSheetId="5" hidden="1">#REF!</definedName>
    <definedName name="_Sort" localSheetId="3" hidden="1">#REF!</definedName>
    <definedName name="_Sort" localSheetId="9" hidden="1">#REF!</definedName>
    <definedName name="_Sort" localSheetId="0" hidden="1">#REF!</definedName>
    <definedName name="_Sort" localSheetId="7" hidden="1">#REF!</definedName>
    <definedName name="_Sort" localSheetId="2" hidden="1">#REF!</definedName>
    <definedName name="_Sort" localSheetId="8" hidden="1">#REF!</definedName>
    <definedName name="_Sort" hidden="1">#REF!</definedName>
    <definedName name="_T10" localSheetId="3" hidden="1">{"'Sheet1'!$L$16"}</definedName>
    <definedName name="_T10" localSheetId="9" hidden="1">{"'Sheet1'!$L$16"}</definedName>
    <definedName name="_T10" hidden="1">{"'Sheet1'!$L$16"}</definedName>
    <definedName name="_tb2" localSheetId="3" hidden="1">{"'Sheet1'!$L$16"}</definedName>
    <definedName name="_tb2" localSheetId="9" hidden="1">{"'Sheet1'!$L$16"}</definedName>
    <definedName name="_tb2" hidden="1">{"'Sheet1'!$L$16"}</definedName>
    <definedName name="_TM2" localSheetId="3" hidden="1">{"'Sheet1'!$L$16"}</definedName>
    <definedName name="_TM2" localSheetId="9" hidden="1">{"'Sheet1'!$L$16"}</definedName>
    <definedName name="_TM2" hidden="1">{"'Sheet1'!$L$16"}</definedName>
    <definedName name="_tt3" localSheetId="3" hidden="1">{"'Sheet1'!$L$16"}</definedName>
    <definedName name="_tt3" localSheetId="9" hidden="1">{"'Sheet1'!$L$16"}</definedName>
    <definedName name="_tt3" hidden="1">{"'Sheet1'!$L$16"}</definedName>
    <definedName name="_vl2" localSheetId="3" hidden="1">{"'Sheet1'!$L$16"}</definedName>
    <definedName name="_vl2" localSheetId="9" hidden="1">{"'Sheet1'!$L$16"}</definedName>
    <definedName name="_vl2" hidden="1">{"'Sheet1'!$L$16"}</definedName>
    <definedName name="ẤDF" localSheetId="3" hidden="1">{"'Sheet1'!$L$16"}</definedName>
    <definedName name="ẤDF" localSheetId="9" hidden="1">{"'Sheet1'!$L$16"}</definedName>
    <definedName name="ẤDF" hidden="1">{"'Sheet1'!$L$16"}</definedName>
    <definedName name="afasfsagfas" localSheetId="3" hidden="1">{#N/A,#N/A,FALSE,"Chi tiÆt"}</definedName>
    <definedName name="afasfsagfas" localSheetId="9" hidden="1">{#N/A,#N/A,FALSE,"Chi tiÆt"}</definedName>
    <definedName name="afasfsagfas" hidden="1">{#N/A,#N/A,FALSE,"Chi tiÆt"}</definedName>
    <definedName name="ân" localSheetId="3" hidden="1">{"'Sheet1'!$L$16"}</definedName>
    <definedName name="ân" localSheetId="9" hidden="1">{"'Sheet1'!$L$16"}</definedName>
    <definedName name="ân" hidden="1">{"'Sheet1'!$L$16"}</definedName>
    <definedName name="anscount" hidden="1">3</definedName>
    <definedName name="Antoan" localSheetId="3" hidden="1">{"'Sheet1'!$L$16"}</definedName>
    <definedName name="Antoan" localSheetId="9" hidden="1">{"'Sheet1'!$L$16"}</definedName>
    <definedName name="Antoan" hidden="1">{"'Sheet1'!$L$16"}</definedName>
    <definedName name="as" localSheetId="3" hidden="1">{"'Sheet1'!$L$16"}</definedName>
    <definedName name="as" localSheetId="9" hidden="1">{"'Sheet1'!$L$16"}</definedName>
    <definedName name="as" hidden="1">{"'Sheet1'!$L$16"}</definedName>
    <definedName name="BANG" localSheetId="3" hidden="1">{"'Sheet1'!$L$16"}</definedName>
    <definedName name="BANG" localSheetId="9" hidden="1">{"'Sheet1'!$L$16"}</definedName>
    <definedName name="BANG" hidden="1">{"'Sheet1'!$L$16"}</definedName>
    <definedName name="banQL" localSheetId="3" hidden="1">{"'Sheet1'!$L$16"}</definedName>
    <definedName name="banQL" localSheetId="9" hidden="1">{"'Sheet1'!$L$16"}</definedName>
    <definedName name="banQL" hidden="1">{"'Sheet1'!$L$16"}</definedName>
    <definedName name="BCBo" localSheetId="3" hidden="1">{"'Sheet1'!$L$16"}</definedName>
    <definedName name="BCBo" localSheetId="9" hidden="1">{"'Sheet1'!$L$16"}</definedName>
    <definedName name="BCBo" hidden="1">{"'Sheet1'!$L$16"}</definedName>
    <definedName name="Bgiang" localSheetId="3" hidden="1">{"'Sheet1'!$L$16"}</definedName>
    <definedName name="Bgiang" localSheetId="9" hidden="1">{"'Sheet1'!$L$16"}</definedName>
    <definedName name="Bgiang" hidden="1">{"'Sheet1'!$L$16"}</definedName>
    <definedName name="came" localSheetId="3" hidden="1">{"'Sheet1'!$L$16"}</definedName>
    <definedName name="came" localSheetId="9" hidden="1">{"'Sheet1'!$L$16"}</definedName>
    <definedName name="came" hidden="1">{"'Sheet1'!$L$16"}</definedName>
    <definedName name="chitietbgiang2" localSheetId="3" hidden="1">{"'Sheet1'!$L$16"}</definedName>
    <definedName name="chitietbgiang2" localSheetId="9" hidden="1">{"'Sheet1'!$L$16"}</definedName>
    <definedName name="chitietbgiang2" hidden="1">{"'Sheet1'!$L$16"}</definedName>
    <definedName name="co_cau_ktqd" localSheetId="5" hidden="1">#REF!</definedName>
    <definedName name="co_cau_ktqd" localSheetId="3" hidden="1">#REF!</definedName>
    <definedName name="co_cau_ktqd" localSheetId="9" hidden="1">#REF!</definedName>
    <definedName name="co_cau_ktqd" localSheetId="0" hidden="1">#REF!</definedName>
    <definedName name="co_cau_ktqd" localSheetId="7" hidden="1">#REF!</definedName>
    <definedName name="co_cau_ktqd" localSheetId="2" hidden="1">#REF!</definedName>
    <definedName name="co_cau_ktqd" localSheetId="8" hidden="1">#REF!</definedName>
    <definedName name="co_cau_ktqd" hidden="1">#REF!</definedName>
    <definedName name="CPM" localSheetId="3" hidden="1">{#N/A,#N/A,FALSE,"Chi tiÆt"}</definedName>
    <definedName name="CPM" localSheetId="9" hidden="1">{#N/A,#N/A,FALSE,"Chi tiÆt"}</definedName>
    <definedName name="CPM" hidden="1">{#N/A,#N/A,FALSE,"Chi tiÆt"}</definedName>
    <definedName name="ctbbt" localSheetId="3" hidden="1">{"'Sheet1'!$L$16"}</definedName>
    <definedName name="ctbbt" localSheetId="9" hidden="1">{"'Sheet1'!$L$16"}</definedName>
    <definedName name="ctbbt" hidden="1">{"'Sheet1'!$L$16"}</definedName>
    <definedName name="CTCT1" localSheetId="3" hidden="1">{"'Sheet1'!$L$16"}</definedName>
    <definedName name="CTCT1" localSheetId="9" hidden="1">{"'Sheet1'!$L$16"}</definedName>
    <definedName name="CTCT1" hidden="1">{"'Sheet1'!$L$16"}</definedName>
    <definedName name="cung" localSheetId="3" hidden="1">{"'Sheet1'!$L$16"}</definedName>
    <definedName name="cung" localSheetId="9" hidden="1">{"'Sheet1'!$L$16"}</definedName>
    <definedName name="cung" hidden="1">{"'Sheet1'!$L$16"}</definedName>
    <definedName name="da" localSheetId="3" hidden="1">{"'Sheet1'!$L$16"}</definedName>
    <definedName name="da" localSheetId="9" hidden="1">{"'Sheet1'!$L$16"}</definedName>
    <definedName name="da" hidden="1">{"'Sheet1'!$L$16"}</definedName>
    <definedName name="dads" localSheetId="3" hidden="1">{"'Sheet1'!$L$16"}</definedName>
    <definedName name="dads" localSheetId="9" hidden="1">{"'Sheet1'!$L$16"}</definedName>
    <definedName name="dads" hidden="1">{"'Sheet1'!$L$16"}</definedName>
    <definedName name="dđ" localSheetId="3" hidden="1">{"'Sheet1'!$L$16"}</definedName>
    <definedName name="dđ" localSheetId="9" hidden="1">{"'Sheet1'!$L$16"}</definedName>
    <definedName name="dđ" hidden="1">{"'Sheet1'!$L$16"}</definedName>
    <definedName name="dfh" localSheetId="3" hidden="1">{"'Sheet1'!$L$16"}</definedName>
    <definedName name="dfh" localSheetId="9" hidden="1">{"'Sheet1'!$L$16"}</definedName>
    <definedName name="dfh" hidden="1">{"'Sheet1'!$L$16"}</definedName>
    <definedName name="DFSDF" localSheetId="3" hidden="1">{"'Sheet1'!$L$16"}</definedName>
    <definedName name="DFSDF" localSheetId="9" hidden="1">{"'Sheet1'!$L$16"}</definedName>
    <definedName name="DFSDF" hidden="1">{"'Sheet1'!$L$16"}</definedName>
    <definedName name="dfsfsd" localSheetId="3" hidden="1">{"'Sheet1'!$L$16"}</definedName>
    <definedName name="dfsfsd" localSheetId="9" hidden="1">{"'Sheet1'!$L$16"}</definedName>
    <definedName name="dfsfsd" hidden="1">{"'Sheet1'!$L$16"}</definedName>
    <definedName name="dj" localSheetId="3" hidden="1">{"'Sheet1'!$L$16"}</definedName>
    <definedName name="dj" localSheetId="9" hidden="1">{"'Sheet1'!$L$16"}</definedName>
    <definedName name="dj" hidden="1">{"'Sheet1'!$L$16"}</definedName>
    <definedName name="DUCANH" localSheetId="3" hidden="1">{"'Sheet1'!$L$16"}</definedName>
    <definedName name="DUCANH" localSheetId="9" hidden="1">{"'Sheet1'!$L$16"}</definedName>
    <definedName name="DUCANH" hidden="1">{"'Sheet1'!$L$16"}</definedName>
    <definedName name="DULICH" localSheetId="3" hidden="1">{"'Sheet1'!$L$16"}</definedName>
    <definedName name="DULICH" localSheetId="9" hidden="1">{"'Sheet1'!$L$16"}</definedName>
    <definedName name="DULICH" hidden="1">{"'Sheet1'!$L$16"}</definedName>
    <definedName name="Duongnaco" localSheetId="3" hidden="1">{"'Sheet1'!$L$16"}</definedName>
    <definedName name="Duongnaco" localSheetId="9" hidden="1">{"'Sheet1'!$L$16"}</definedName>
    <definedName name="Duongnaco" hidden="1">{"'Sheet1'!$L$16"}</definedName>
    <definedName name="fáaafafaf" localSheetId="3" hidden="1">{"'Sheet1'!$L$16"}</definedName>
    <definedName name="fáaafafaf" localSheetId="9" hidden="1">{"'Sheet1'!$L$16"}</definedName>
    <definedName name="fáaafafaf" hidden="1">{"'Sheet1'!$L$16"}</definedName>
    <definedName name="fasfaga" localSheetId="3" hidden="1">{"'Sheet1'!$L$16"}</definedName>
    <definedName name="fasfaga" localSheetId="9" hidden="1">{"'Sheet1'!$L$16"}</definedName>
    <definedName name="fasfaga" hidden="1">{"'Sheet1'!$L$16"}</definedName>
    <definedName name="fdsfsdfd" localSheetId="3" hidden="1">{"'Sheet1'!$L$16"}</definedName>
    <definedName name="fdsfsdfd" localSheetId="9" hidden="1">{"'Sheet1'!$L$16"}</definedName>
    <definedName name="fdsfsdfd" hidden="1">{"'Sheet1'!$L$16"}</definedName>
    <definedName name="fff" localSheetId="3" hidden="1">{"'Sheet1'!$L$16"}</definedName>
    <definedName name="fff" localSheetId="9" hidden="1">{"'Sheet1'!$L$16"}</definedName>
    <definedName name="fff" hidden="1">{"'Sheet1'!$L$16"}</definedName>
    <definedName name="fffffffffffffff" localSheetId="3" hidden="1">{"'Sheet1'!$L$16"}</definedName>
    <definedName name="fffffffffffffff" localSheetId="9" hidden="1">{"'Sheet1'!$L$16"}</definedName>
    <definedName name="fffffffffffffff" hidden="1">{"'Sheet1'!$L$16"}</definedName>
    <definedName name="fgf" localSheetId="3" hidden="1">{"'Sheet1'!$L$16"}</definedName>
    <definedName name="fgf" localSheetId="9" hidden="1">{"'Sheet1'!$L$16"}</definedName>
    <definedName name="fgf" hidden="1">{"'Sheet1'!$L$16"}</definedName>
    <definedName name="fsdfdsf" localSheetId="3" hidden="1">{"'Sheet1'!$L$16"}</definedName>
    <definedName name="fsdfdsf" localSheetId="9" hidden="1">{"'Sheet1'!$L$16"}</definedName>
    <definedName name="fsdfdsf" hidden="1">{"'Sheet1'!$L$16"}</definedName>
    <definedName name="gdfgdfgdf" localSheetId="3" hidden="1">{"'Sheet1'!$L$16"}</definedName>
    <definedName name="gdfgdfgdf" localSheetId="9" hidden="1">{"'Sheet1'!$L$16"}</definedName>
    <definedName name="gdfgdfgdf" hidden="1">{"'Sheet1'!$L$16"}</definedName>
    <definedName name="ghghgf" localSheetId="3" hidden="1">{"'Sheet1'!$L$16"}</definedName>
    <definedName name="ghghgf" localSheetId="9" hidden="1">{"'Sheet1'!$L$16"}</definedName>
    <definedName name="ghghgf" hidden="1">{"'Sheet1'!$L$16"}</definedName>
    <definedName name="h" localSheetId="3" hidden="1">{"'Sheet1'!$L$16"}</definedName>
    <definedName name="h" localSheetId="9" hidden="1">{"'Sheet1'!$L$16"}</definedName>
    <definedName name="h" hidden="1">{"'Sheet1'!$L$16"}</definedName>
    <definedName name="HANG" localSheetId="3" hidden="1">{#N/A,#N/A,FALSE,"Chi tiÆt"}</definedName>
    <definedName name="HANG" localSheetId="9" hidden="1">{#N/A,#N/A,FALSE,"Chi tiÆt"}</definedName>
    <definedName name="HANG" hidden="1">{#N/A,#N/A,FALSE,"Chi tiÆt"}</definedName>
    <definedName name="hfdhfgd" localSheetId="3" hidden="1">{"'Sheet1'!$L$16"}</definedName>
    <definedName name="hfdhfgd" localSheetId="9" hidden="1">{"'Sheet1'!$L$16"}</definedName>
    <definedName name="hfdhfgd" hidden="1">{"'Sheet1'!$L$16"}</definedName>
    <definedName name="hghg" localSheetId="3" hidden="1">{"'Sheet1'!$L$16"}</definedName>
    <definedName name="hghg" localSheetId="9" hidden="1">{"'Sheet1'!$L$16"}</definedName>
    <definedName name="hghg" hidden="1">{"'Sheet1'!$L$16"}</definedName>
    <definedName name="HIHIHIHOI" localSheetId="3" hidden="1">{"'Sheet1'!$L$16"}</definedName>
    <definedName name="HIHIHIHOI" localSheetId="9" hidden="1">{"'Sheet1'!$L$16"}</definedName>
    <definedName name="HIHIHIHOI" hidden="1">{"'Sheet1'!$L$16"}</definedName>
    <definedName name="hjjkl" localSheetId="3" hidden="1">{"'Sheet1'!$L$16"}</definedName>
    <definedName name="hjjkl" localSheetId="9" hidden="1">{"'Sheet1'!$L$16"}</definedName>
    <definedName name="hjjkl" hidden="1">{"'Sheet1'!$L$16"}</definedName>
    <definedName name="HJKL" localSheetId="3" hidden="1">{"'Sheet1'!$L$16"}</definedName>
    <definedName name="HJKL" localSheetId="9" hidden="1">{"'Sheet1'!$L$16"}</definedName>
    <definedName name="HJKL" hidden="1">{"'Sheet1'!$L$16"}</definedName>
    <definedName name="htlm" localSheetId="3" hidden="1">{"'Sheet1'!$L$16"}</definedName>
    <definedName name="htlm" localSheetId="9" hidden="1">{"'Sheet1'!$L$16"}</definedName>
    <definedName name="htlm" hidden="1">{"'Sheet1'!$L$16"}</definedName>
    <definedName name="HTML_CodePage" hidden="1">950</definedName>
    <definedName name="HTML_Control" localSheetId="3" hidden="1">{"'Sheet1'!$L$16"}</definedName>
    <definedName name="HTML_Control" localSheetId="9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ML_ToanNM" localSheetId="3" hidden="1">{"'Sheet1'!$L$16"}</definedName>
    <definedName name="HTML_ToanNM" localSheetId="9" hidden="1">{"'Sheet1'!$L$16"}</definedName>
    <definedName name="HTML_ToanNM" hidden="1">{"'Sheet1'!$L$16"}</definedName>
    <definedName name="HTNL" localSheetId="3" hidden="1">{"'Sheet1'!$L$16"}</definedName>
    <definedName name="HTNL" localSheetId="9" hidden="1">{"'Sheet1'!$L$16"}</definedName>
    <definedName name="HTNL" hidden="1">{"'Sheet1'!$L$16"}</definedName>
    <definedName name="hu" localSheetId="3" hidden="1">{"'Sheet1'!$L$16"}</definedName>
    <definedName name="hu" localSheetId="9" hidden="1">{"'Sheet1'!$L$16"}</definedName>
    <definedName name="hu" hidden="1">{"'Sheet1'!$L$16"}</definedName>
    <definedName name="hui" localSheetId="3" hidden="1">{"'Sheet1'!$L$16"}</definedName>
    <definedName name="hui" localSheetId="9" hidden="1">{"'Sheet1'!$L$16"}</definedName>
    <definedName name="hui" hidden="1">{"'Sheet1'!$L$16"}</definedName>
    <definedName name="hung" localSheetId="3" hidden="1">{"'Sheet1'!$L$16"}</definedName>
    <definedName name="hung" localSheetId="9" hidden="1">{"'Sheet1'!$L$16"}</definedName>
    <definedName name="hung" hidden="1">{"'Sheet1'!$L$16"}</definedName>
    <definedName name="huy" localSheetId="3" hidden="1">{"'Sheet1'!$L$16"}</definedName>
    <definedName name="huy" localSheetId="9" hidden="1">{"'Sheet1'!$L$16"}</definedName>
    <definedName name="huy" hidden="1">{"'Sheet1'!$L$16"}</definedName>
    <definedName name="huyen" localSheetId="3" hidden="1">{"'Sheet1'!$L$16"}</definedName>
    <definedName name="huyen" localSheetId="9" hidden="1">{"'Sheet1'!$L$16"}</definedName>
    <definedName name="huyen" hidden="1">{"'Sheet1'!$L$16"}</definedName>
    <definedName name="jkh" localSheetId="3" hidden="1">{"'Sheet1'!$L$16"}</definedName>
    <definedName name="jkh" localSheetId="9" hidden="1">{"'Sheet1'!$L$16"}</definedName>
    <definedName name="jkh" hidden="1">{"'Sheet1'!$L$16"}</definedName>
    <definedName name="jkjk" localSheetId="3" hidden="1">{"'Sheet1'!$L$16"}</definedName>
    <definedName name="jkjk" localSheetId="9" hidden="1">{"'Sheet1'!$L$16"}</definedName>
    <definedName name="jkjk" hidden="1">{"'Sheet1'!$L$16"}</definedName>
    <definedName name="KHOILUONG" localSheetId="3" hidden="1">{"'Sheet1'!$L$16"}</definedName>
    <definedName name="KHOILUONG" localSheetId="9" hidden="1">{"'Sheet1'!$L$16"}</definedName>
    <definedName name="KHOILUONG" hidden="1">{"'Sheet1'!$L$16"}</definedName>
    <definedName name="không" localSheetId="3" hidden="1">{"'Sheet1'!$L$16"}</definedName>
    <definedName name="không" localSheetId="9" hidden="1">{"'Sheet1'!$L$16"}</definedName>
    <definedName name="không" hidden="1">{"'Sheet1'!$L$16"}</definedName>
    <definedName name="khongtruotgia" localSheetId="3" hidden="1">{"'Sheet1'!$L$16"}</definedName>
    <definedName name="khongtruotgia" localSheetId="9" hidden="1">{"'Sheet1'!$L$16"}</definedName>
    <definedName name="khongtruotgia" hidden="1">{"'Sheet1'!$L$16"}</definedName>
    <definedName name="ksbn" localSheetId="3" hidden="1">{"'Sheet1'!$L$16"}</definedName>
    <definedName name="ksbn" localSheetId="9" hidden="1">{"'Sheet1'!$L$16"}</definedName>
    <definedName name="ksbn" hidden="1">{"'Sheet1'!$L$16"}</definedName>
    <definedName name="kshn" localSheetId="3" hidden="1">{"'Sheet1'!$L$16"}</definedName>
    <definedName name="kshn" localSheetId="9" hidden="1">{"'Sheet1'!$L$16"}</definedName>
    <definedName name="kshn" hidden="1">{"'Sheet1'!$L$16"}</definedName>
    <definedName name="ksls" localSheetId="3" hidden="1">{"'Sheet1'!$L$16"}</definedName>
    <definedName name="ksls" localSheetId="9" hidden="1">{"'Sheet1'!$L$16"}</definedName>
    <definedName name="ksls" hidden="1">{"'Sheet1'!$L$16"}</definedName>
    <definedName name="langson" localSheetId="3" hidden="1">{"'Sheet1'!$L$16"}</definedName>
    <definedName name="langson" localSheetId="9" hidden="1">{"'Sheet1'!$L$16"}</definedName>
    <definedName name="langson" hidden="1">{"'Sheet1'!$L$16"}</definedName>
    <definedName name="moi" localSheetId="3" hidden="1">{"'Sheet1'!$L$16"}</definedName>
    <definedName name="moi" localSheetId="9" hidden="1">{"'Sheet1'!$L$16"}</definedName>
    <definedName name="moi" hidden="1">{"'Sheet1'!$L$16"}</definedName>
    <definedName name="new" localSheetId="5" hidden="1">#REF!</definedName>
    <definedName name="new" localSheetId="3" hidden="1">#REF!</definedName>
    <definedName name="new" localSheetId="9" hidden="1">#REF!</definedName>
    <definedName name="new" localSheetId="0" hidden="1">#REF!</definedName>
    <definedName name="new" localSheetId="7" hidden="1">#REF!</definedName>
    <definedName name="new" localSheetId="2" hidden="1">#REF!</definedName>
    <definedName name="new" localSheetId="8" hidden="1">#REF!</definedName>
    <definedName name="new" hidden="1">#REF!</definedName>
    <definedName name="ng" hidden="1">{"'Sheet1'!$L$16"}</definedName>
    <definedName name="nnnnnnnn" localSheetId="3" hidden="1">{"'Sheet1'!$L$16"}</definedName>
    <definedName name="nnnnnnnn" localSheetId="9" hidden="1">{"'Sheet1'!$L$16"}</definedName>
    <definedName name="nnnnnnnn" hidden="1">{"'Sheet1'!$L$16"}</definedName>
    <definedName name="phi_lphi1" localSheetId="5" hidden="1">#REF!</definedName>
    <definedName name="phi_lphi1" localSheetId="3" hidden="1">#REF!</definedName>
    <definedName name="phi_lphi1" localSheetId="9" hidden="1">#REF!</definedName>
    <definedName name="phi_lphi1" localSheetId="0" hidden="1">#REF!</definedName>
    <definedName name="phi_lphi1" localSheetId="7" hidden="1">#REF!</definedName>
    <definedName name="phi_lphi1" localSheetId="2" hidden="1">#REF!</definedName>
    <definedName name="phi_lphi1" localSheetId="8" hidden="1">#REF!</definedName>
    <definedName name="phi_lphi1" hidden="1">#REF!</definedName>
    <definedName name="_xlnm.Print_Titles" localSheetId="6">'Biểu 6 Nợ đọng XDCB-nợ thực'!$3:$4</definedName>
    <definedName name="_xlnm.Print_Titles" localSheetId="3">'DT CHI 2023'!$A:$B,'DT CHI 2023'!$6:$7</definedName>
    <definedName name="_xlnm.Print_Titles" localSheetId="9">'DT CHI 2023 (6th CN)'!$A:$B,'DT CHI 2023 (6th CN)'!$6:$7</definedName>
    <definedName name="_xlnm.Print_Titles" localSheetId="2">'thu phí,lệ phí, khac 2023'!$5:$6</definedName>
    <definedName name="_xlnm.Print_Titles" localSheetId="8">'thu phí,lệ phí, khac 6 tháng CN'!$5:$6</definedName>
    <definedName name="quy" localSheetId="3" hidden="1">{"'Sheet1'!$L$16"}</definedName>
    <definedName name="quy" localSheetId="9" hidden="1">{"'Sheet1'!$L$16"}</definedName>
    <definedName name="quy" hidden="1">{"'Sheet1'!$L$16"}</definedName>
    <definedName name="qwerty" localSheetId="3" hidden="1">{#N/A,#N/A,FALSE,"Chi tiÆt"}</definedName>
    <definedName name="qwerty" localSheetId="9" hidden="1">{#N/A,#N/A,FALSE,"Chi tiÆt"}</definedName>
    <definedName name="qwerty" hidden="1">{#N/A,#N/A,FALSE,"Chi tiÆt"}</definedName>
    <definedName name="Ranhxay" localSheetId="3" hidden="1">{"'Sheet1'!$L$16"}</definedName>
    <definedName name="Ranhxay" localSheetId="9" hidden="1">{"'Sheet1'!$L$16"}</definedName>
    <definedName name="Ranhxay" hidden="1">{"'Sheet1'!$L$16"}</definedName>
    <definedName name="Result21" localSheetId="3" hidden="1">{"'Sheet1'!$L$16"}</definedName>
    <definedName name="Result21" localSheetId="9" hidden="1">{"'Sheet1'!$L$16"}</definedName>
    <definedName name="Result21" hidden="1">{"'Sheet1'!$L$16"}</definedName>
    <definedName name="RGHGSD" localSheetId="3" hidden="1">{"'Sheet1'!$L$16"}</definedName>
    <definedName name="RGHGSD" localSheetId="9" hidden="1">{"'Sheet1'!$L$16"}</definedName>
    <definedName name="RGHGSD" hidden="1">{"'Sheet1'!$L$16"}</definedName>
    <definedName name="sad" localSheetId="3" hidden="1">{"'Sheet1'!$L$16"}</definedName>
    <definedName name="sad" localSheetId="9" hidden="1">{"'Sheet1'!$L$16"}</definedName>
    <definedName name="sad" hidden="1">{"'Sheet1'!$L$16"}</definedName>
    <definedName name="sas" localSheetId="3" hidden="1">{"'Sheet1'!$L$16"}</definedName>
    <definedName name="sas" localSheetId="9" hidden="1">{"'Sheet1'!$L$16"}</definedName>
    <definedName name="sas" hidden="1">{"'Sheet1'!$L$16"}</definedName>
    <definedName name="sd" localSheetId="3" hidden="1">{"'Sheet1'!$L$16"}</definedName>
    <definedName name="sd" localSheetId="9" hidden="1">{"'Sheet1'!$L$16"}</definedName>
    <definedName name="sd" hidden="1">{"'Sheet1'!$L$16"}</definedName>
    <definedName name="sd¸d" localSheetId="3" hidden="1">{"'Sheet1'!$L$16"}</definedName>
    <definedName name="sd¸d" localSheetId="9" hidden="1">{"'Sheet1'!$L$16"}</definedName>
    <definedName name="sd¸d" hidden="1">{"'Sheet1'!$L$16"}</definedName>
    <definedName name="sdfsdfsd" localSheetId="3" hidden="1">{"'Sheet1'!$L$16"}</definedName>
    <definedName name="sdfsdfsd" localSheetId="9" hidden="1">{"'Sheet1'!$L$16"}</definedName>
    <definedName name="sdfsdfsd" hidden="1">{"'Sheet1'!$L$16"}</definedName>
    <definedName name="sds" localSheetId="3" hidden="1">{"'Sheet1'!$L$16"}</definedName>
    <definedName name="sds" localSheetId="9" hidden="1">{"'Sheet1'!$L$16"}</definedName>
    <definedName name="sds" hidden="1">{"'Sheet1'!$L$16"}</definedName>
    <definedName name="sencount" hidden="1">2</definedName>
    <definedName name="sfbsgbsfgsf" localSheetId="3" hidden="1">{"'Sheet1'!$L$16"}</definedName>
    <definedName name="sfbsgbsfgsf" localSheetId="9" hidden="1">{"'Sheet1'!$L$16"}</definedName>
    <definedName name="sfbsgbsfgsf" hidden="1">{"'Sheet1'!$L$16"}</definedName>
    <definedName name="SS" localSheetId="3" hidden="1">{"'Sheet1'!$L$16"}</definedName>
    <definedName name="SS" localSheetId="9" hidden="1">{"'Sheet1'!$L$16"}</definedName>
    <definedName name="SS" hidden="1">{"'Sheet1'!$L$16"}</definedName>
    <definedName name="sssss" localSheetId="3" hidden="1">{"'Sheet1'!$L$16"}</definedName>
    <definedName name="sssss" localSheetId="9" hidden="1">{"'Sheet1'!$L$16"}</definedName>
    <definedName name="sssss" hidden="1">{"'Sheet1'!$L$16"}</definedName>
    <definedName name="tam" localSheetId="3" hidden="1">{"'Sheet1'!$L$16"}</definedName>
    <definedName name="tam" localSheetId="9" hidden="1">{"'Sheet1'!$L$16"}</definedName>
    <definedName name="tam" hidden="1">{"'Sheet1'!$L$16"}</definedName>
    <definedName name="tbao" localSheetId="3" hidden="1">{"'Sheet1'!$L$16"}</definedName>
    <definedName name="tbao" localSheetId="9" hidden="1">{"'Sheet1'!$L$16"}</definedName>
    <definedName name="tbao" hidden="1">{"'Sheet1'!$L$16"}</definedName>
    <definedName name="tha" localSheetId="3" hidden="1">{"'Sheet1'!$L$16"}</definedName>
    <definedName name="tha" localSheetId="9" hidden="1">{"'Sheet1'!$L$16"}</definedName>
    <definedName name="tha" hidden="1">{"'Sheet1'!$L$16"}</definedName>
    <definedName name="thang10" localSheetId="3" hidden="1">{"'Sheet1'!$L$16"}</definedName>
    <definedName name="thang10" localSheetId="9" hidden="1">{"'Sheet1'!$L$16"}</definedName>
    <definedName name="thang10" hidden="1">{"'Sheet1'!$L$16"}</definedName>
    <definedName name="thanh" localSheetId="3" hidden="1">{"'Sheet1'!$L$16"}</definedName>
    <definedName name="thanh" localSheetId="9" hidden="1">{"'Sheet1'!$L$16"}</definedName>
    <definedName name="thanh" hidden="1">{"'Sheet1'!$L$16"}</definedName>
    <definedName name="THKP7YT" localSheetId="3" hidden="1">{"'Sheet1'!$L$16"}</definedName>
    <definedName name="THKP7YT" localSheetId="9" hidden="1">{"'Sheet1'!$L$16"}</definedName>
    <definedName name="THKP7YT" hidden="1">{"'Sheet1'!$L$16"}</definedName>
    <definedName name="Toannm" localSheetId="3" hidden="1">{"'Sheet1'!$L$16"}</definedName>
    <definedName name="Toannm" localSheetId="9" hidden="1">{"'Sheet1'!$L$16"}</definedName>
    <definedName name="Toannm" hidden="1">{"'Sheet1'!$L$16"}</definedName>
    <definedName name="tuan" localSheetId="3" hidden="1">{"'Sheet1'!$L$16"}</definedName>
    <definedName name="tuan" localSheetId="9" hidden="1">{"'Sheet1'!$L$16"}</definedName>
    <definedName name="tuan" hidden="1">{"'Sheet1'!$L$16"}</definedName>
    <definedName name="VATM" localSheetId="3" hidden="1">{"'Sheet1'!$L$16"}</definedName>
    <definedName name="VATM" localSheetId="9" hidden="1">{"'Sheet1'!$L$16"}</definedName>
    <definedName name="VATM" hidden="1">{"'Sheet1'!$L$16"}</definedName>
    <definedName name="vcoto" localSheetId="3" hidden="1">{"'Sheet1'!$L$16"}</definedName>
    <definedName name="vcoto" localSheetId="9" hidden="1">{"'Sheet1'!$L$16"}</definedName>
    <definedName name="vcoto" hidden="1">{"'Sheet1'!$L$16"}</definedName>
    <definedName name="vdv" localSheetId="5" hidden="1">#REF!</definedName>
    <definedName name="vdv" localSheetId="3" hidden="1">#REF!</definedName>
    <definedName name="vdv" localSheetId="9" hidden="1">#REF!</definedName>
    <definedName name="vdv" localSheetId="0" hidden="1">#REF!</definedName>
    <definedName name="vdv" localSheetId="7" hidden="1">#REF!</definedName>
    <definedName name="vdv" localSheetId="2" hidden="1">#REF!</definedName>
    <definedName name="vdv" localSheetId="8" hidden="1">#REF!</definedName>
    <definedName name="vdv" hidden="1">#REF!</definedName>
    <definedName name="wrn.chi._.tiÆt." localSheetId="3" hidden="1">{#N/A,#N/A,FALSE,"Chi tiÆt"}</definedName>
    <definedName name="wrn.chi._.tiÆt." localSheetId="9" hidden="1">{#N/A,#N/A,FALSE,"Chi tiÆt"}</definedName>
    <definedName name="wrn.chi._.tiÆt." hidden="1">{#N/A,#N/A,FALSE,"Chi tiÆt"}</definedName>
    <definedName name="wrn.Report." localSheetId="3" hidden="1">{"Offgrid",#N/A,FALSE,"OFFGRID";"Region",#N/A,FALSE,"REGION";"Offgrid -2",#N/A,FALSE,"OFFGRID";"WTP",#N/A,FALSE,"WTP";"WTP -2",#N/A,FALSE,"WTP";"Project",#N/A,FALSE,"PROJECT";"Summary -2",#N/A,FALSE,"SUMMARY"}</definedName>
    <definedName name="wrn.Report." localSheetId="9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f.report" localSheetId="3" hidden="1">{"Offgrid",#N/A,FALSE,"OFFGRID";"Region",#N/A,FALSE,"REGION";"Offgrid -2",#N/A,FALSE,"OFFGRID";"WTP",#N/A,FALSE,"WTP";"WTP -2",#N/A,FALSE,"WTP";"Project",#N/A,FALSE,"PROJECT";"Summary -2",#N/A,FALSE,"SUMMARY"}</definedName>
    <definedName name="wrnf.report" localSheetId="9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lttbninh" localSheetId="3" hidden="1">{"'Sheet1'!$L$16"}</definedName>
    <definedName name="xlttbninh" localSheetId="9" hidden="1">{"'Sheet1'!$L$16"}</definedName>
    <definedName name="xlttbninh" hidden="1">{"'Sheet1'!$L$16"}</definedName>
    <definedName name="ZXzX" localSheetId="3" hidden="1">{"'Sheet1'!$L$16"}</definedName>
    <definedName name="ZXzX" localSheetId="9" hidden="1">{"'Sheet1'!$L$16"}</definedName>
    <definedName name="ZXzX" hidden="1">{"'Sheet1'!$L$16"}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/>
  <c r="C281" i="11" l="1"/>
  <c r="D281"/>
  <c r="E281"/>
  <c r="F281"/>
  <c r="G281"/>
  <c r="J281"/>
  <c r="K281"/>
  <c r="L281"/>
  <c r="N281"/>
  <c r="C268"/>
  <c r="D268"/>
  <c r="E268"/>
  <c r="F268"/>
  <c r="G268"/>
  <c r="J268"/>
  <c r="K268"/>
  <c r="L268"/>
  <c r="N268"/>
  <c r="C254"/>
  <c r="D254"/>
  <c r="E254"/>
  <c r="F254"/>
  <c r="G254"/>
  <c r="J254"/>
  <c r="K254"/>
  <c r="L254"/>
  <c r="N254"/>
  <c r="C245"/>
  <c r="D245"/>
  <c r="E245"/>
  <c r="F245"/>
  <c r="G245"/>
  <c r="J245"/>
  <c r="K245"/>
  <c r="L245"/>
  <c r="N245"/>
  <c r="C227"/>
  <c r="D227"/>
  <c r="E227"/>
  <c r="F227"/>
  <c r="G227"/>
  <c r="J227"/>
  <c r="K227"/>
  <c r="L227"/>
  <c r="N227"/>
  <c r="C215"/>
  <c r="D215"/>
  <c r="E215"/>
  <c r="F215"/>
  <c r="G215"/>
  <c r="J215"/>
  <c r="K215"/>
  <c r="L215"/>
  <c r="N215"/>
  <c r="C199"/>
  <c r="D199"/>
  <c r="E199"/>
  <c r="F199"/>
  <c r="G199"/>
  <c r="J199"/>
  <c r="K199"/>
  <c r="L199"/>
  <c r="N199"/>
  <c r="C193"/>
  <c r="D193"/>
  <c r="E193"/>
  <c r="F193"/>
  <c r="G193"/>
  <c r="J193"/>
  <c r="K193"/>
  <c r="L193"/>
  <c r="N193"/>
  <c r="C183"/>
  <c r="D183"/>
  <c r="E183"/>
  <c r="F183"/>
  <c r="G183"/>
  <c r="J183"/>
  <c r="K183"/>
  <c r="L183"/>
  <c r="N183"/>
  <c r="C175"/>
  <c r="D175"/>
  <c r="E175"/>
  <c r="F175"/>
  <c r="G175"/>
  <c r="J175"/>
  <c r="K175"/>
  <c r="L175"/>
  <c r="N175"/>
  <c r="C152"/>
  <c r="D152"/>
  <c r="E152"/>
  <c r="F152"/>
  <c r="G152"/>
  <c r="J152"/>
  <c r="K152"/>
  <c r="L152"/>
  <c r="N152"/>
  <c r="C137"/>
  <c r="D137"/>
  <c r="E137"/>
  <c r="F137"/>
  <c r="G137"/>
  <c r="J137"/>
  <c r="K137"/>
  <c r="L137"/>
  <c r="N137"/>
  <c r="C124"/>
  <c r="D124"/>
  <c r="E124"/>
  <c r="F124"/>
  <c r="G124"/>
  <c r="J124"/>
  <c r="K124"/>
  <c r="L124"/>
  <c r="N124"/>
  <c r="C109"/>
  <c r="D109"/>
  <c r="E109"/>
  <c r="F109"/>
  <c r="G109"/>
  <c r="J109"/>
  <c r="K109"/>
  <c r="L109"/>
  <c r="N109"/>
  <c r="C101"/>
  <c r="D101"/>
  <c r="E101"/>
  <c r="F101"/>
  <c r="G101"/>
  <c r="J101"/>
  <c r="K101"/>
  <c r="L101"/>
  <c r="N101"/>
  <c r="C92"/>
  <c r="D92"/>
  <c r="E92"/>
  <c r="F92"/>
  <c r="G92"/>
  <c r="J92"/>
  <c r="K92"/>
  <c r="L92"/>
  <c r="N92"/>
  <c r="C83"/>
  <c r="D83"/>
  <c r="E83"/>
  <c r="F83"/>
  <c r="G83"/>
  <c r="J83"/>
  <c r="K83"/>
  <c r="L83"/>
  <c r="N83"/>
  <c r="C69"/>
  <c r="D69"/>
  <c r="E69"/>
  <c r="F69"/>
  <c r="G69"/>
  <c r="J69"/>
  <c r="K69"/>
  <c r="L69"/>
  <c r="N69"/>
  <c r="C54"/>
  <c r="D54"/>
  <c r="E54"/>
  <c r="F54"/>
  <c r="G54"/>
  <c r="J54"/>
  <c r="K54"/>
  <c r="L54"/>
  <c r="N54"/>
  <c r="C39"/>
  <c r="D39"/>
  <c r="E39"/>
  <c r="F39"/>
  <c r="G39"/>
  <c r="J39"/>
  <c r="K39"/>
  <c r="L39"/>
  <c r="N39"/>
  <c r="C34"/>
  <c r="D34"/>
  <c r="E34"/>
  <c r="F34"/>
  <c r="G34"/>
  <c r="J34"/>
  <c r="K34"/>
  <c r="L34"/>
  <c r="N34"/>
  <c r="C29"/>
  <c r="D29"/>
  <c r="E29"/>
  <c r="F29"/>
  <c r="G29"/>
  <c r="J29"/>
  <c r="K29"/>
  <c r="L29"/>
  <c r="N29"/>
  <c r="H29"/>
  <c r="I29"/>
  <c r="C25"/>
  <c r="D25"/>
  <c r="E25"/>
  <c r="F25"/>
  <c r="G25"/>
  <c r="J25"/>
  <c r="K25"/>
  <c r="L25"/>
  <c r="N25"/>
  <c r="L36" i="4"/>
  <c r="L37"/>
  <c r="E26" i="3"/>
  <c r="H35" i="4" l="1"/>
  <c r="I35"/>
  <c r="K36" i="10"/>
  <c r="A1" i="11"/>
  <c r="E16" i="6"/>
  <c r="I36" i="4" l="1"/>
  <c r="M13" i="11"/>
  <c r="M51"/>
  <c r="M52"/>
  <c r="M53"/>
  <c r="M58"/>
  <c r="M95"/>
  <c r="M96"/>
  <c r="M98"/>
  <c r="M99"/>
  <c r="M100"/>
  <c r="M103"/>
  <c r="M174"/>
  <c r="M180"/>
  <c r="M196"/>
  <c r="M197"/>
  <c r="M222"/>
  <c r="M253"/>
  <c r="M279"/>
  <c r="M297"/>
  <c r="I44" i="10" l="1"/>
  <c r="E25" i="2" l="1"/>
  <c r="F25" s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6"/>
  <c r="F27"/>
  <c r="F28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6"/>
  <c r="E27"/>
  <c r="E28"/>
  <c r="G7"/>
  <c r="G8"/>
  <c r="G6" s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E6" l="1"/>
  <c r="K21" i="1"/>
  <c r="H17"/>
  <c r="K44" i="4"/>
  <c r="H31"/>
  <c r="Q8" i="10"/>
  <c r="K39"/>
  <c r="Q39"/>
  <c r="O45"/>
  <c r="L40"/>
  <c r="C13" i="11"/>
  <c r="D13"/>
  <c r="E13"/>
  <c r="F13"/>
  <c r="G13"/>
  <c r="H13"/>
  <c r="I13"/>
  <c r="J13"/>
  <c r="K13"/>
  <c r="L13"/>
  <c r="C14"/>
  <c r="E14"/>
  <c r="E11" s="1"/>
  <c r="B16"/>
  <c r="D16"/>
  <c r="D14" s="1"/>
  <c r="F16"/>
  <c r="F14" s="1"/>
  <c r="C17"/>
  <c r="C12" s="1"/>
  <c r="E17"/>
  <c r="E12" s="1"/>
  <c r="F17"/>
  <c r="F12" s="1"/>
  <c r="H17"/>
  <c r="H12" s="1"/>
  <c r="I17"/>
  <c r="I12" s="1"/>
  <c r="J17"/>
  <c r="J12" s="1"/>
  <c r="K17"/>
  <c r="K12" s="1"/>
  <c r="L17"/>
  <c r="L12" s="1"/>
  <c r="G18"/>
  <c r="M18" s="1"/>
  <c r="B19"/>
  <c r="D19"/>
  <c r="G19"/>
  <c r="M19" s="1"/>
  <c r="B20"/>
  <c r="D20"/>
  <c r="G20"/>
  <c r="M20" s="1"/>
  <c r="B21"/>
  <c r="D21"/>
  <c r="G21"/>
  <c r="M21" s="1"/>
  <c r="B22"/>
  <c r="D22"/>
  <c r="G22"/>
  <c r="M22" s="1"/>
  <c r="N30"/>
  <c r="C31"/>
  <c r="D31"/>
  <c r="E31"/>
  <c r="F31"/>
  <c r="H31"/>
  <c r="I31"/>
  <c r="J31"/>
  <c r="L31"/>
  <c r="N31"/>
  <c r="K32"/>
  <c r="G32" s="1"/>
  <c r="G33"/>
  <c r="M33" s="1"/>
  <c r="K33"/>
  <c r="C35"/>
  <c r="D35"/>
  <c r="E35"/>
  <c r="F35"/>
  <c r="H35"/>
  <c r="I35"/>
  <c r="J35"/>
  <c r="L35"/>
  <c r="K36"/>
  <c r="K35" s="1"/>
  <c r="C37"/>
  <c r="D37"/>
  <c r="E37"/>
  <c r="F37"/>
  <c r="H37"/>
  <c r="I37"/>
  <c r="J37"/>
  <c r="L37"/>
  <c r="N37"/>
  <c r="K38"/>
  <c r="C40"/>
  <c r="D40"/>
  <c r="E40"/>
  <c r="F40"/>
  <c r="H40"/>
  <c r="I40"/>
  <c r="J40"/>
  <c r="L40"/>
  <c r="G41"/>
  <c r="M41" s="1"/>
  <c r="G42"/>
  <c r="M42" s="1"/>
  <c r="G43"/>
  <c r="G44"/>
  <c r="M44" s="1"/>
  <c r="G45"/>
  <c r="G46"/>
  <c r="M46" s="1"/>
  <c r="G47"/>
  <c r="G48"/>
  <c r="M48" s="1"/>
  <c r="G49"/>
  <c r="C50"/>
  <c r="D50"/>
  <c r="E50"/>
  <c r="F50"/>
  <c r="G50"/>
  <c r="M50" s="1"/>
  <c r="H50"/>
  <c r="I50"/>
  <c r="J50"/>
  <c r="K50"/>
  <c r="L50"/>
  <c r="C55"/>
  <c r="D55"/>
  <c r="E55"/>
  <c r="F55"/>
  <c r="H55"/>
  <c r="I55"/>
  <c r="J55"/>
  <c r="L55"/>
  <c r="K56"/>
  <c r="K57"/>
  <c r="G57" s="1"/>
  <c r="M57" s="1"/>
  <c r="G59"/>
  <c r="M59" s="1"/>
  <c r="K60"/>
  <c r="G60" s="1"/>
  <c r="M60" s="1"/>
  <c r="K61"/>
  <c r="G61" s="1"/>
  <c r="M61" s="1"/>
  <c r="K62"/>
  <c r="G62" s="1"/>
  <c r="M62" s="1"/>
  <c r="K63"/>
  <c r="G63" s="1"/>
  <c r="M63" s="1"/>
  <c r="C64"/>
  <c r="D64"/>
  <c r="E64"/>
  <c r="F64"/>
  <c r="H64"/>
  <c r="I64"/>
  <c r="J64"/>
  <c r="L64"/>
  <c r="K65"/>
  <c r="K66"/>
  <c r="G66" s="1"/>
  <c r="M66" s="1"/>
  <c r="C67"/>
  <c r="D67"/>
  <c r="E67"/>
  <c r="F67"/>
  <c r="H67"/>
  <c r="I67"/>
  <c r="J67"/>
  <c r="L67"/>
  <c r="K68"/>
  <c r="K67" s="1"/>
  <c r="C70"/>
  <c r="D70"/>
  <c r="E70"/>
  <c r="F70"/>
  <c r="H70"/>
  <c r="I70"/>
  <c r="J70"/>
  <c r="L70"/>
  <c r="K71"/>
  <c r="K72"/>
  <c r="G72" s="1"/>
  <c r="M72" s="1"/>
  <c r="C73"/>
  <c r="D73"/>
  <c r="E73"/>
  <c r="F73"/>
  <c r="H73"/>
  <c r="I73"/>
  <c r="J73"/>
  <c r="L73"/>
  <c r="K74"/>
  <c r="K75"/>
  <c r="G75" s="1"/>
  <c r="M75" s="1"/>
  <c r="K76"/>
  <c r="G76" s="1"/>
  <c r="M76" s="1"/>
  <c r="C77"/>
  <c r="D77"/>
  <c r="E77"/>
  <c r="F77"/>
  <c r="H77"/>
  <c r="I77"/>
  <c r="J77"/>
  <c r="L77"/>
  <c r="K78"/>
  <c r="G78" s="1"/>
  <c r="M78" s="1"/>
  <c r="K79"/>
  <c r="G79" s="1"/>
  <c r="M79" s="1"/>
  <c r="K80"/>
  <c r="G80" s="1"/>
  <c r="M80" s="1"/>
  <c r="K81"/>
  <c r="G81" s="1"/>
  <c r="M81" s="1"/>
  <c r="K82"/>
  <c r="G82" s="1"/>
  <c r="M82" s="1"/>
  <c r="C84"/>
  <c r="D84"/>
  <c r="E84"/>
  <c r="F84"/>
  <c r="H84"/>
  <c r="I84"/>
  <c r="J84"/>
  <c r="L84"/>
  <c r="G85"/>
  <c r="M85" s="1"/>
  <c r="K85"/>
  <c r="K84" s="1"/>
  <c r="C86"/>
  <c r="D86"/>
  <c r="E86"/>
  <c r="F86"/>
  <c r="H86"/>
  <c r="I86"/>
  <c r="J86"/>
  <c r="L86"/>
  <c r="N86"/>
  <c r="K87"/>
  <c r="K88"/>
  <c r="G88" s="1"/>
  <c r="M88" s="1"/>
  <c r="C89"/>
  <c r="D89"/>
  <c r="E89"/>
  <c r="F89"/>
  <c r="G89"/>
  <c r="M89" s="1"/>
  <c r="H89"/>
  <c r="I89"/>
  <c r="J89"/>
  <c r="K89"/>
  <c r="L89"/>
  <c r="C93"/>
  <c r="D93"/>
  <c r="F93"/>
  <c r="H93"/>
  <c r="H92" s="1"/>
  <c r="I93"/>
  <c r="I92" s="1"/>
  <c r="J93"/>
  <c r="L93"/>
  <c r="K94"/>
  <c r="G94" s="1"/>
  <c r="M94" s="1"/>
  <c r="E95"/>
  <c r="E96"/>
  <c r="K96" s="1"/>
  <c r="K97"/>
  <c r="G97" s="1"/>
  <c r="M97" s="1"/>
  <c r="E98"/>
  <c r="K98" s="1"/>
  <c r="E99"/>
  <c r="K99" s="1"/>
  <c r="N102"/>
  <c r="C104"/>
  <c r="D104"/>
  <c r="E104"/>
  <c r="F104"/>
  <c r="H104"/>
  <c r="H101" s="1"/>
  <c r="I104"/>
  <c r="I101" s="1"/>
  <c r="J104"/>
  <c r="L104"/>
  <c r="K105"/>
  <c r="G105" s="1"/>
  <c r="M105" s="1"/>
  <c r="K106"/>
  <c r="G106" s="1"/>
  <c r="M106" s="1"/>
  <c r="K107"/>
  <c r="G107" s="1"/>
  <c r="M107" s="1"/>
  <c r="K108"/>
  <c r="G108" s="1"/>
  <c r="M108" s="1"/>
  <c r="C110"/>
  <c r="D110"/>
  <c r="E110"/>
  <c r="F110"/>
  <c r="H110"/>
  <c r="I110"/>
  <c r="J110"/>
  <c r="L110"/>
  <c r="K111"/>
  <c r="K112"/>
  <c r="G112" s="1"/>
  <c r="M112" s="1"/>
  <c r="C113"/>
  <c r="D113"/>
  <c r="E113"/>
  <c r="F113"/>
  <c r="H113"/>
  <c r="I113"/>
  <c r="J113"/>
  <c r="L113"/>
  <c r="N113"/>
  <c r="K114"/>
  <c r="K115"/>
  <c r="G115" s="1"/>
  <c r="K116"/>
  <c r="G116" s="1"/>
  <c r="M116" s="1"/>
  <c r="K117"/>
  <c r="G117" s="1"/>
  <c r="M117" s="1"/>
  <c r="K118"/>
  <c r="G118" s="1"/>
  <c r="M118" s="1"/>
  <c r="C119"/>
  <c r="D119"/>
  <c r="E119"/>
  <c r="F119"/>
  <c r="H119"/>
  <c r="I119"/>
  <c r="J119"/>
  <c r="L119"/>
  <c r="K120"/>
  <c r="K121"/>
  <c r="G121" s="1"/>
  <c r="M121" s="1"/>
  <c r="K122"/>
  <c r="G122" s="1"/>
  <c r="K123"/>
  <c r="G123" s="1"/>
  <c r="C125"/>
  <c r="D125"/>
  <c r="E125"/>
  <c r="F125"/>
  <c r="H125"/>
  <c r="I125"/>
  <c r="J125"/>
  <c r="L125"/>
  <c r="O125"/>
  <c r="K126"/>
  <c r="K127"/>
  <c r="G127" s="1"/>
  <c r="M127" s="1"/>
  <c r="K128"/>
  <c r="G128" s="1"/>
  <c r="K129"/>
  <c r="G129" s="1"/>
  <c r="M129" s="1"/>
  <c r="C130"/>
  <c r="D130"/>
  <c r="E130"/>
  <c r="H130"/>
  <c r="I130"/>
  <c r="J130"/>
  <c r="L130"/>
  <c r="N130"/>
  <c r="K131"/>
  <c r="G131" s="1"/>
  <c r="M131" s="1"/>
  <c r="K132"/>
  <c r="G132" s="1"/>
  <c r="M132" s="1"/>
  <c r="F133"/>
  <c r="F130" s="1"/>
  <c r="K134"/>
  <c r="G134" s="1"/>
  <c r="M134" s="1"/>
  <c r="C135"/>
  <c r="D135"/>
  <c r="E135"/>
  <c r="F135"/>
  <c r="H135"/>
  <c r="I135"/>
  <c r="J135"/>
  <c r="L135"/>
  <c r="N135"/>
  <c r="K136"/>
  <c r="C138"/>
  <c r="D138"/>
  <c r="E138"/>
  <c r="F138"/>
  <c r="H138"/>
  <c r="I138"/>
  <c r="J138"/>
  <c r="L138"/>
  <c r="K139"/>
  <c r="K140"/>
  <c r="G140" s="1"/>
  <c r="M140" s="1"/>
  <c r="K141"/>
  <c r="G141" s="1"/>
  <c r="M141" s="1"/>
  <c r="K142"/>
  <c r="G142" s="1"/>
  <c r="M142" s="1"/>
  <c r="K143"/>
  <c r="G143" s="1"/>
  <c r="M143" s="1"/>
  <c r="K144"/>
  <c r="G144" s="1"/>
  <c r="M144" s="1"/>
  <c r="K145"/>
  <c r="G145" s="1"/>
  <c r="M145" s="1"/>
  <c r="K146"/>
  <c r="G146" s="1"/>
  <c r="M146" s="1"/>
  <c r="C147"/>
  <c r="D147"/>
  <c r="E147"/>
  <c r="F147"/>
  <c r="H147"/>
  <c r="I147"/>
  <c r="J147"/>
  <c r="L147"/>
  <c r="K148"/>
  <c r="G148" s="1"/>
  <c r="G147" s="1"/>
  <c r="M147" s="1"/>
  <c r="C149"/>
  <c r="D149"/>
  <c r="E149"/>
  <c r="F149"/>
  <c r="H149"/>
  <c r="I149"/>
  <c r="J149"/>
  <c r="L149"/>
  <c r="K150"/>
  <c r="K151"/>
  <c r="G151" s="1"/>
  <c r="M151" s="1"/>
  <c r="C153"/>
  <c r="D153"/>
  <c r="H153"/>
  <c r="I153"/>
  <c r="J153"/>
  <c r="L153"/>
  <c r="O153"/>
  <c r="K154"/>
  <c r="G154" s="1"/>
  <c r="M154" s="1"/>
  <c r="E155"/>
  <c r="K155" s="1"/>
  <c r="G155" s="1"/>
  <c r="M155" s="1"/>
  <c r="F155"/>
  <c r="F153" s="1"/>
  <c r="K156"/>
  <c r="G156" s="1"/>
  <c r="M156" s="1"/>
  <c r="K157"/>
  <c r="G157" s="1"/>
  <c r="M157" s="1"/>
  <c r="K158"/>
  <c r="G158" s="1"/>
  <c r="M158" s="1"/>
  <c r="C159"/>
  <c r="D159"/>
  <c r="E159"/>
  <c r="F159"/>
  <c r="H159"/>
  <c r="I159"/>
  <c r="J159"/>
  <c r="L159"/>
  <c r="N159"/>
  <c r="K160"/>
  <c r="G160" s="1"/>
  <c r="M160" s="1"/>
  <c r="K161"/>
  <c r="G161" s="1"/>
  <c r="M161" s="1"/>
  <c r="K162"/>
  <c r="G162" s="1"/>
  <c r="K163"/>
  <c r="G163" s="1"/>
  <c r="M163" s="1"/>
  <c r="K164"/>
  <c r="G164" s="1"/>
  <c r="M164" s="1"/>
  <c r="K165"/>
  <c r="G165" s="1"/>
  <c r="M165" s="1"/>
  <c r="K166"/>
  <c r="G166" s="1"/>
  <c r="M166" s="1"/>
  <c r="K167"/>
  <c r="G167" s="1"/>
  <c r="M167" s="1"/>
  <c r="K168"/>
  <c r="G168" s="1"/>
  <c r="M168" s="1"/>
  <c r="K169"/>
  <c r="G169" s="1"/>
  <c r="M169" s="1"/>
  <c r="K170"/>
  <c r="G170" s="1"/>
  <c r="M170" s="1"/>
  <c r="K171"/>
  <c r="G171" s="1"/>
  <c r="M171" s="1"/>
  <c r="K172"/>
  <c r="G172" s="1"/>
  <c r="M172" s="1"/>
  <c r="K173"/>
  <c r="G173" s="1"/>
  <c r="M173" s="1"/>
  <c r="C176"/>
  <c r="D176"/>
  <c r="E176"/>
  <c r="F176"/>
  <c r="H176"/>
  <c r="I176"/>
  <c r="J176"/>
  <c r="L176"/>
  <c r="O176"/>
  <c r="K177"/>
  <c r="K178"/>
  <c r="G178" s="1"/>
  <c r="M178" s="1"/>
  <c r="K179"/>
  <c r="G179" s="1"/>
  <c r="M179" s="1"/>
  <c r="C181"/>
  <c r="D181"/>
  <c r="E181"/>
  <c r="H181"/>
  <c r="I181"/>
  <c r="J181"/>
  <c r="L181"/>
  <c r="N181"/>
  <c r="F182"/>
  <c r="F181" s="1"/>
  <c r="C184"/>
  <c r="D184"/>
  <c r="E184"/>
  <c r="H184"/>
  <c r="I184"/>
  <c r="J184"/>
  <c r="L184"/>
  <c r="K185"/>
  <c r="G185" s="1"/>
  <c r="M185" s="1"/>
  <c r="K186"/>
  <c r="G186" s="1"/>
  <c r="M186" s="1"/>
  <c r="K187"/>
  <c r="G187" s="1"/>
  <c r="M187" s="1"/>
  <c r="F188"/>
  <c r="F184" s="1"/>
  <c r="K188"/>
  <c r="G188" s="1"/>
  <c r="M188" s="1"/>
  <c r="C189"/>
  <c r="D189"/>
  <c r="E189"/>
  <c r="F189"/>
  <c r="H189"/>
  <c r="I189"/>
  <c r="J189"/>
  <c r="L189"/>
  <c r="N189"/>
  <c r="K190"/>
  <c r="K191"/>
  <c r="G191" s="1"/>
  <c r="M191" s="1"/>
  <c r="C194"/>
  <c r="D194"/>
  <c r="E194"/>
  <c r="F194"/>
  <c r="H194"/>
  <c r="I194"/>
  <c r="J194"/>
  <c r="L194"/>
  <c r="O194"/>
  <c r="K195"/>
  <c r="G195" s="1"/>
  <c r="C197"/>
  <c r="D197"/>
  <c r="E197"/>
  <c r="F197"/>
  <c r="G197"/>
  <c r="H197"/>
  <c r="I197"/>
  <c r="J197"/>
  <c r="K197"/>
  <c r="L197"/>
  <c r="C200"/>
  <c r="D200"/>
  <c r="E200"/>
  <c r="H200"/>
  <c r="I200"/>
  <c r="J200"/>
  <c r="L200"/>
  <c r="O200"/>
  <c r="K201"/>
  <c r="G201" s="1"/>
  <c r="M201" s="1"/>
  <c r="F202"/>
  <c r="F200" s="1"/>
  <c r="K203"/>
  <c r="G203" s="1"/>
  <c r="M203" s="1"/>
  <c r="K204"/>
  <c r="G204" s="1"/>
  <c r="M204" s="1"/>
  <c r="K205"/>
  <c r="G205" s="1"/>
  <c r="M205" s="1"/>
  <c r="K206"/>
  <c r="G206" s="1"/>
  <c r="M206" s="1"/>
  <c r="K207"/>
  <c r="G207" s="1"/>
  <c r="M207" s="1"/>
  <c r="K208"/>
  <c r="G208" s="1"/>
  <c r="M208" s="1"/>
  <c r="K209"/>
  <c r="G209" s="1"/>
  <c r="M209" s="1"/>
  <c r="C210"/>
  <c r="D210"/>
  <c r="E210"/>
  <c r="F210"/>
  <c r="H210"/>
  <c r="I210"/>
  <c r="J210"/>
  <c r="L210"/>
  <c r="N210"/>
  <c r="K211"/>
  <c r="K212"/>
  <c r="G212" s="1"/>
  <c r="K213"/>
  <c r="G213" s="1"/>
  <c r="M213" s="1"/>
  <c r="C216"/>
  <c r="D216"/>
  <c r="E216"/>
  <c r="F216"/>
  <c r="H216"/>
  <c r="I216"/>
  <c r="J216"/>
  <c r="K216"/>
  <c r="L216"/>
  <c r="G217"/>
  <c r="M217" s="1"/>
  <c r="G218"/>
  <c r="M218" s="1"/>
  <c r="G219"/>
  <c r="M219" s="1"/>
  <c r="C220"/>
  <c r="D220"/>
  <c r="E220"/>
  <c r="F220"/>
  <c r="H220"/>
  <c r="I220"/>
  <c r="J220"/>
  <c r="L220"/>
  <c r="K221"/>
  <c r="K220" s="1"/>
  <c r="C223"/>
  <c r="D223"/>
  <c r="E223"/>
  <c r="F223"/>
  <c r="H223"/>
  <c r="I223"/>
  <c r="J223"/>
  <c r="L223"/>
  <c r="N223"/>
  <c r="K224"/>
  <c r="G224" s="1"/>
  <c r="M224" s="1"/>
  <c r="K225"/>
  <c r="K226"/>
  <c r="G226" s="1"/>
  <c r="M226" s="1"/>
  <c r="C228"/>
  <c r="D228"/>
  <c r="E228"/>
  <c r="F228"/>
  <c r="H228"/>
  <c r="I228"/>
  <c r="J228"/>
  <c r="L228"/>
  <c r="K229"/>
  <c r="K230"/>
  <c r="G230" s="1"/>
  <c r="M230" s="1"/>
  <c r="K231"/>
  <c r="G231" s="1"/>
  <c r="M231" s="1"/>
  <c r="K232"/>
  <c r="G232" s="1"/>
  <c r="M232" s="1"/>
  <c r="K233"/>
  <c r="G233" s="1"/>
  <c r="M233" s="1"/>
  <c r="K234"/>
  <c r="G234" s="1"/>
  <c r="M234" s="1"/>
  <c r="K235"/>
  <c r="G235" s="1"/>
  <c r="M235" s="1"/>
  <c r="K236"/>
  <c r="G236" s="1"/>
  <c r="M236" s="1"/>
  <c r="K237"/>
  <c r="G237" s="1"/>
  <c r="M237" s="1"/>
  <c r="C238"/>
  <c r="D238"/>
  <c r="E238"/>
  <c r="F238"/>
  <c r="H238"/>
  <c r="I238"/>
  <c r="J238"/>
  <c r="L238"/>
  <c r="N238"/>
  <c r="K239"/>
  <c r="K240"/>
  <c r="G240" s="1"/>
  <c r="M240" s="1"/>
  <c r="C241"/>
  <c r="D241"/>
  <c r="E241"/>
  <c r="F241"/>
  <c r="H241"/>
  <c r="I241"/>
  <c r="J241"/>
  <c r="L241"/>
  <c r="N241"/>
  <c r="K242"/>
  <c r="G242" s="1"/>
  <c r="M242" s="1"/>
  <c r="K243"/>
  <c r="G243" s="1"/>
  <c r="M243" s="1"/>
  <c r="K244"/>
  <c r="G244" s="1"/>
  <c r="M244" s="1"/>
  <c r="C247"/>
  <c r="D247"/>
  <c r="E247"/>
  <c r="F247"/>
  <c r="H247"/>
  <c r="H245" s="1"/>
  <c r="I247"/>
  <c r="I245" s="1"/>
  <c r="J247"/>
  <c r="L247"/>
  <c r="N247"/>
  <c r="K248"/>
  <c r="G248" s="1"/>
  <c r="M248" s="1"/>
  <c r="K249"/>
  <c r="G249" s="1"/>
  <c r="M249" s="1"/>
  <c r="K250"/>
  <c r="G250" s="1"/>
  <c r="M250" s="1"/>
  <c r="K251"/>
  <c r="G251" s="1"/>
  <c r="M251" s="1"/>
  <c r="K252"/>
  <c r="G252" s="1"/>
  <c r="M252" s="1"/>
  <c r="C257"/>
  <c r="D257"/>
  <c r="E257"/>
  <c r="F257"/>
  <c r="H257"/>
  <c r="H254" s="1"/>
  <c r="I257"/>
  <c r="I254" s="1"/>
  <c r="J257"/>
  <c r="L257"/>
  <c r="N257"/>
  <c r="K258"/>
  <c r="G258" s="1"/>
  <c r="M258" s="1"/>
  <c r="K259"/>
  <c r="K260"/>
  <c r="G260" s="1"/>
  <c r="M260" s="1"/>
  <c r="K261"/>
  <c r="G261" s="1"/>
  <c r="M261" s="1"/>
  <c r="K262"/>
  <c r="G262" s="1"/>
  <c r="M262" s="1"/>
  <c r="K263"/>
  <c r="G263" s="1"/>
  <c r="M263" s="1"/>
  <c r="K264"/>
  <c r="G264" s="1"/>
  <c r="M264" s="1"/>
  <c r="K265"/>
  <c r="G265" s="1"/>
  <c r="M265" s="1"/>
  <c r="K266"/>
  <c r="G266" s="1"/>
  <c r="M266" s="1"/>
  <c r="K267"/>
  <c r="G267" s="1"/>
  <c r="M267" s="1"/>
  <c r="C269"/>
  <c r="D269"/>
  <c r="E269"/>
  <c r="F269"/>
  <c r="H269"/>
  <c r="H268" s="1"/>
  <c r="I269"/>
  <c r="I268" s="1"/>
  <c r="J269"/>
  <c r="L269"/>
  <c r="O269"/>
  <c r="K270"/>
  <c r="G270" s="1"/>
  <c r="K271"/>
  <c r="G271" s="1"/>
  <c r="M271" s="1"/>
  <c r="K272"/>
  <c r="G272" s="1"/>
  <c r="M272" s="1"/>
  <c r="K273"/>
  <c r="G273" s="1"/>
  <c r="M273" s="1"/>
  <c r="K274"/>
  <c r="G274" s="1"/>
  <c r="M274" s="1"/>
  <c r="K275"/>
  <c r="G275" s="1"/>
  <c r="M275" s="1"/>
  <c r="K276"/>
  <c r="G276" s="1"/>
  <c r="M276" s="1"/>
  <c r="K277"/>
  <c r="G277" s="1"/>
  <c r="M277" s="1"/>
  <c r="K278"/>
  <c r="G278" s="1"/>
  <c r="M278" s="1"/>
  <c r="C282"/>
  <c r="D282"/>
  <c r="E282"/>
  <c r="F282"/>
  <c r="H282"/>
  <c r="I282"/>
  <c r="J282"/>
  <c r="L282"/>
  <c r="O282"/>
  <c r="K283"/>
  <c r="G283" s="1"/>
  <c r="M283" s="1"/>
  <c r="K284"/>
  <c r="K285"/>
  <c r="G285" s="1"/>
  <c r="M285" s="1"/>
  <c r="K286"/>
  <c r="G286" s="1"/>
  <c r="M286" s="1"/>
  <c r="K287"/>
  <c r="G287" s="1"/>
  <c r="M287" s="1"/>
  <c r="K288"/>
  <c r="G288" s="1"/>
  <c r="M288" s="1"/>
  <c r="K289"/>
  <c r="G289" s="1"/>
  <c r="M289" s="1"/>
  <c r="K290"/>
  <c r="G290" s="1"/>
  <c r="M290" s="1"/>
  <c r="K291"/>
  <c r="G291" s="1"/>
  <c r="M291" s="1"/>
  <c r="K292"/>
  <c r="G292" s="1"/>
  <c r="M292" s="1"/>
  <c r="K293"/>
  <c r="G293" s="1"/>
  <c r="M293" s="1"/>
  <c r="K294"/>
  <c r="G294" s="1"/>
  <c r="M294" s="1"/>
  <c r="K295"/>
  <c r="G295" s="1"/>
  <c r="K296"/>
  <c r="G296" s="1"/>
  <c r="M296" s="1"/>
  <c r="C298"/>
  <c r="D298"/>
  <c r="E298"/>
  <c r="F298"/>
  <c r="G298"/>
  <c r="M298" s="1"/>
  <c r="H298"/>
  <c r="I298"/>
  <c r="J298"/>
  <c r="K298"/>
  <c r="L298"/>
  <c r="J44" i="10"/>
  <c r="P36"/>
  <c r="P11"/>
  <c r="P28"/>
  <c r="P31"/>
  <c r="D32"/>
  <c r="E32"/>
  <c r="L32"/>
  <c r="M32"/>
  <c r="N32"/>
  <c r="P32"/>
  <c r="P10"/>
  <c r="P9"/>
  <c r="P23"/>
  <c r="N23"/>
  <c r="N28"/>
  <c r="K49" i="11" l="1"/>
  <c r="M49"/>
  <c r="N128"/>
  <c r="M128"/>
  <c r="M247"/>
  <c r="M245" s="1"/>
  <c r="M93"/>
  <c r="M92" s="1"/>
  <c r="N295"/>
  <c r="M295"/>
  <c r="O115"/>
  <c r="M115"/>
  <c r="K45"/>
  <c r="M45"/>
  <c r="K47"/>
  <c r="M47"/>
  <c r="G194"/>
  <c r="M195"/>
  <c r="M194" s="1"/>
  <c r="M193" s="1"/>
  <c r="O123"/>
  <c r="M123"/>
  <c r="M17"/>
  <c r="M12" s="1"/>
  <c r="N270"/>
  <c r="M270"/>
  <c r="M269" s="1"/>
  <c r="M268" s="1"/>
  <c r="O162"/>
  <c r="M162"/>
  <c r="O122"/>
  <c r="M122"/>
  <c r="K43"/>
  <c r="M43"/>
  <c r="O32"/>
  <c r="O31" s="1"/>
  <c r="M32"/>
  <c r="M31" s="1"/>
  <c r="O212"/>
  <c r="M212"/>
  <c r="M153"/>
  <c r="O33"/>
  <c r="C10"/>
  <c r="G36"/>
  <c r="H193"/>
  <c r="K73"/>
  <c r="K64"/>
  <c r="H39"/>
  <c r="H152"/>
  <c r="O166"/>
  <c r="G221"/>
  <c r="I183"/>
  <c r="K189"/>
  <c r="G65"/>
  <c r="M65" s="1"/>
  <c r="K119"/>
  <c r="H137"/>
  <c r="K147"/>
  <c r="G68"/>
  <c r="M68" s="1"/>
  <c r="N154"/>
  <c r="K223"/>
  <c r="I152"/>
  <c r="I137"/>
  <c r="K138"/>
  <c r="I124"/>
  <c r="K125"/>
  <c r="G120"/>
  <c r="M120" s="1"/>
  <c r="I199"/>
  <c r="K210"/>
  <c r="N272"/>
  <c r="O168"/>
  <c r="O118"/>
  <c r="O116"/>
  <c r="N293"/>
  <c r="N283"/>
  <c r="N289"/>
  <c r="N285"/>
  <c r="O117"/>
  <c r="O165"/>
  <c r="N291"/>
  <c r="N287"/>
  <c r="G126"/>
  <c r="L26"/>
  <c r="K228"/>
  <c r="G216"/>
  <c r="M216" s="1"/>
  <c r="G211"/>
  <c r="M211" s="1"/>
  <c r="H199"/>
  <c r="K194"/>
  <c r="H183"/>
  <c r="G139"/>
  <c r="M139" s="1"/>
  <c r="K133"/>
  <c r="H83"/>
  <c r="H28"/>
  <c r="D17"/>
  <c r="D12" s="1"/>
  <c r="I175"/>
  <c r="J27"/>
  <c r="K113"/>
  <c r="H109"/>
  <c r="K104"/>
  <c r="I34"/>
  <c r="H54"/>
  <c r="K269"/>
  <c r="I193"/>
  <c r="H175"/>
  <c r="N156"/>
  <c r="G114"/>
  <c r="I69"/>
  <c r="E153"/>
  <c r="H69"/>
  <c r="C11"/>
  <c r="H227"/>
  <c r="I215"/>
  <c r="K176"/>
  <c r="H124"/>
  <c r="G74"/>
  <c r="N274"/>
  <c r="I281"/>
  <c r="K282"/>
  <c r="H281"/>
  <c r="H215"/>
  <c r="G190"/>
  <c r="G177"/>
  <c r="N177" s="1"/>
  <c r="L27"/>
  <c r="I54"/>
  <c r="D27"/>
  <c r="O171"/>
  <c r="N276"/>
  <c r="N271"/>
  <c r="O266"/>
  <c r="O258"/>
  <c r="K238"/>
  <c r="G239"/>
  <c r="M239" s="1"/>
  <c r="M238" s="1"/>
  <c r="N204"/>
  <c r="O164"/>
  <c r="K110"/>
  <c r="G111"/>
  <c r="M111" s="1"/>
  <c r="K257"/>
  <c r="G259"/>
  <c r="M259" s="1"/>
  <c r="M257" s="1"/>
  <c r="M254" s="1"/>
  <c r="O240"/>
  <c r="N209"/>
  <c r="G184"/>
  <c r="M184" s="1"/>
  <c r="N179"/>
  <c r="O169"/>
  <c r="O121"/>
  <c r="O260"/>
  <c r="N201"/>
  <c r="N277"/>
  <c r="O170"/>
  <c r="N275"/>
  <c r="G269"/>
  <c r="O264"/>
  <c r="O213"/>
  <c r="N208"/>
  <c r="N203"/>
  <c r="N178"/>
  <c r="G93"/>
  <c r="O263"/>
  <c r="G247"/>
  <c r="O173"/>
  <c r="G150"/>
  <c r="M150" s="1"/>
  <c r="M149" s="1"/>
  <c r="K149"/>
  <c r="O267"/>
  <c r="O265"/>
  <c r="O262"/>
  <c r="O243"/>
  <c r="I227"/>
  <c r="N207"/>
  <c r="O172"/>
  <c r="O161"/>
  <c r="N205"/>
  <c r="N278"/>
  <c r="N273"/>
  <c r="O261"/>
  <c r="G241"/>
  <c r="M241" s="1"/>
  <c r="O242"/>
  <c r="N206"/>
  <c r="N85"/>
  <c r="G84"/>
  <c r="M84" s="1"/>
  <c r="K42"/>
  <c r="C26"/>
  <c r="O244"/>
  <c r="K241"/>
  <c r="O163"/>
  <c r="N129"/>
  <c r="H27"/>
  <c r="G38"/>
  <c r="M38" s="1"/>
  <c r="M37" s="1"/>
  <c r="K37"/>
  <c r="J26"/>
  <c r="F27"/>
  <c r="K247"/>
  <c r="G229"/>
  <c r="M229" s="1"/>
  <c r="K202"/>
  <c r="G202" s="1"/>
  <c r="K184"/>
  <c r="K182"/>
  <c r="K159"/>
  <c r="N155"/>
  <c r="K153"/>
  <c r="G87"/>
  <c r="M87" s="1"/>
  <c r="M86" s="1"/>
  <c r="K86"/>
  <c r="F28"/>
  <c r="K46"/>
  <c r="G40"/>
  <c r="M40" s="1"/>
  <c r="M39" s="1"/>
  <c r="G31"/>
  <c r="E27"/>
  <c r="I26"/>
  <c r="N296"/>
  <c r="N294"/>
  <c r="N292"/>
  <c r="N290"/>
  <c r="N288"/>
  <c r="N286"/>
  <c r="G225"/>
  <c r="M225" s="1"/>
  <c r="M223" s="1"/>
  <c r="N195"/>
  <c r="N194" s="1"/>
  <c r="O160"/>
  <c r="G159"/>
  <c r="M159" s="1"/>
  <c r="G136"/>
  <c r="M136" s="1"/>
  <c r="M135" s="1"/>
  <c r="K135"/>
  <c r="I109"/>
  <c r="I83"/>
  <c r="K70"/>
  <c r="G71"/>
  <c r="M71" s="1"/>
  <c r="H26"/>
  <c r="L28"/>
  <c r="D28"/>
  <c r="K55"/>
  <c r="C27"/>
  <c r="G17"/>
  <c r="G12" s="1"/>
  <c r="O167"/>
  <c r="N158"/>
  <c r="K95"/>
  <c r="K93" s="1"/>
  <c r="E93"/>
  <c r="C28"/>
  <c r="K44"/>
  <c r="F26"/>
  <c r="K31"/>
  <c r="E28"/>
  <c r="F11"/>
  <c r="F10"/>
  <c r="G284"/>
  <c r="G153"/>
  <c r="N127"/>
  <c r="G104"/>
  <c r="M104" s="1"/>
  <c r="M101" s="1"/>
  <c r="K77"/>
  <c r="J28"/>
  <c r="I39"/>
  <c r="D11"/>
  <c r="N157"/>
  <c r="G77"/>
  <c r="M77" s="1"/>
  <c r="I28"/>
  <c r="K48"/>
  <c r="D26"/>
  <c r="I27"/>
  <c r="K41"/>
  <c r="E10"/>
  <c r="G56"/>
  <c r="M56" s="1"/>
  <c r="H34"/>
  <c r="P22" i="10"/>
  <c r="P8" s="1"/>
  <c r="L8"/>
  <c r="M10"/>
  <c r="M9"/>
  <c r="L22"/>
  <c r="M22"/>
  <c r="N22"/>
  <c r="N8" s="1"/>
  <c r="H10"/>
  <c r="H11"/>
  <c r="H12"/>
  <c r="H13"/>
  <c r="H14"/>
  <c r="H15"/>
  <c r="H16"/>
  <c r="H17"/>
  <c r="H18"/>
  <c r="H19"/>
  <c r="H20"/>
  <c r="H21"/>
  <c r="H36"/>
  <c r="H42"/>
  <c r="G12"/>
  <c r="G13"/>
  <c r="G16"/>
  <c r="G20"/>
  <c r="G21"/>
  <c r="G36"/>
  <c r="J36" s="1"/>
  <c r="G37"/>
  <c r="J37" s="1"/>
  <c r="G43"/>
  <c r="O43" s="1"/>
  <c r="G44"/>
  <c r="O44" s="1"/>
  <c r="F44"/>
  <c r="H44"/>
  <c r="A2"/>
  <c r="M152" i="11" l="1"/>
  <c r="M210"/>
  <c r="G282"/>
  <c r="M284"/>
  <c r="M282" s="1"/>
  <c r="M281" s="1"/>
  <c r="G200"/>
  <c r="M202"/>
  <c r="M200" s="1"/>
  <c r="M199" s="1"/>
  <c r="D10"/>
  <c r="O114"/>
  <c r="O113" s="1"/>
  <c r="M114"/>
  <c r="G189"/>
  <c r="M190"/>
  <c r="M189" s="1"/>
  <c r="M183" s="1"/>
  <c r="G125"/>
  <c r="M126"/>
  <c r="M125" s="1"/>
  <c r="G220"/>
  <c r="M221"/>
  <c r="M220" s="1"/>
  <c r="M215" s="1"/>
  <c r="G35"/>
  <c r="M36"/>
  <c r="M35" s="1"/>
  <c r="M113"/>
  <c r="G176"/>
  <c r="M177"/>
  <c r="M176" s="1"/>
  <c r="M83"/>
  <c r="G73"/>
  <c r="M73" s="1"/>
  <c r="M74"/>
  <c r="M29"/>
  <c r="G67"/>
  <c r="M67" s="1"/>
  <c r="O120"/>
  <c r="N126"/>
  <c r="N125" s="1"/>
  <c r="G64"/>
  <c r="M64" s="1"/>
  <c r="L6"/>
  <c r="G119"/>
  <c r="E26"/>
  <c r="E6" s="1"/>
  <c r="N153"/>
  <c r="H300"/>
  <c r="N269"/>
  <c r="H25"/>
  <c r="G210"/>
  <c r="O211"/>
  <c r="O210" s="1"/>
  <c r="O199" s="1"/>
  <c r="G133"/>
  <c r="M133" s="1"/>
  <c r="M130" s="1"/>
  <c r="K130"/>
  <c r="J6"/>
  <c r="G138"/>
  <c r="M138" s="1"/>
  <c r="M137" s="1"/>
  <c r="F6"/>
  <c r="O159"/>
  <c r="G113"/>
  <c r="O37" i="10"/>
  <c r="J20"/>
  <c r="I20" s="1"/>
  <c r="I36"/>
  <c r="J16"/>
  <c r="I16" s="1"/>
  <c r="J21"/>
  <c r="I21" s="1"/>
  <c r="J13"/>
  <c r="I13" s="1"/>
  <c r="I300" i="11"/>
  <c r="C6"/>
  <c r="K200"/>
  <c r="G110"/>
  <c r="M110" s="1"/>
  <c r="G86"/>
  <c r="G182"/>
  <c r="M182" s="1"/>
  <c r="K181"/>
  <c r="O239"/>
  <c r="O238" s="1"/>
  <c r="G238"/>
  <c r="G70"/>
  <c r="M70" s="1"/>
  <c r="G135"/>
  <c r="G37"/>
  <c r="O241"/>
  <c r="G223"/>
  <c r="K40"/>
  <c r="N202"/>
  <c r="N200" s="1"/>
  <c r="N284"/>
  <c r="N282" s="1"/>
  <c r="I25"/>
  <c r="G149"/>
  <c r="G228"/>
  <c r="M228" s="1"/>
  <c r="M227" s="1"/>
  <c r="O259"/>
  <c r="O257" s="1"/>
  <c r="O254" s="1"/>
  <c r="G55"/>
  <c r="M55" s="1"/>
  <c r="N176"/>
  <c r="G257"/>
  <c r="J12" i="10"/>
  <c r="I12" s="1"/>
  <c r="D6" i="11" l="1"/>
  <c r="M54"/>
  <c r="M27"/>
  <c r="M34"/>
  <c r="M26"/>
  <c r="M69"/>
  <c r="M124"/>
  <c r="O119"/>
  <c r="O109" s="1"/>
  <c r="M119"/>
  <c r="M109" s="1"/>
  <c r="K27"/>
  <c r="G26"/>
  <c r="G130"/>
  <c r="O21" i="10"/>
  <c r="O13"/>
  <c r="O16"/>
  <c r="O36"/>
  <c r="O12"/>
  <c r="O20"/>
  <c r="G181" i="11"/>
  <c r="M181" s="1"/>
  <c r="M175" s="1"/>
  <c r="O182"/>
  <c r="O181" s="1"/>
  <c r="K26"/>
  <c r="O227"/>
  <c r="K28"/>
  <c r="M28" l="1"/>
  <c r="M25" s="1"/>
  <c r="M6" s="1"/>
  <c r="G27"/>
  <c r="K6"/>
  <c r="G28"/>
  <c r="G6" l="1"/>
  <c r="P44" i="4" l="1"/>
  <c r="N16"/>
  <c r="N21"/>
  <c r="N37"/>
  <c r="N39"/>
  <c r="N40"/>
  <c r="N41"/>
  <c r="N42"/>
  <c r="N43"/>
  <c r="N44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9"/>
  <c r="O30"/>
  <c r="O31"/>
  <c r="O32"/>
  <c r="O33"/>
  <c r="O34"/>
  <c r="O35"/>
  <c r="O38"/>
  <c r="O39"/>
  <c r="O40"/>
  <c r="O42"/>
  <c r="O43"/>
  <c r="O44"/>
  <c r="M9"/>
  <c r="H9" i="10" s="1"/>
  <c r="K9" s="1"/>
  <c r="I9" i="4"/>
  <c r="J10"/>
  <c r="L11"/>
  <c r="G11" i="10" s="1"/>
  <c r="L14" i="4"/>
  <c r="G14" i="10" s="1"/>
  <c r="L15" i="4"/>
  <c r="G15" i="10" s="1"/>
  <c r="L17" i="4"/>
  <c r="G17" i="10" s="1"/>
  <c r="L18" i="4"/>
  <c r="G18" i="10" s="1"/>
  <c r="L19" i="4"/>
  <c r="G19" i="10" s="1"/>
  <c r="I42" i="4"/>
  <c r="L42" s="1"/>
  <c r="H27" i="1"/>
  <c r="J26"/>
  <c r="J41" i="4" s="1"/>
  <c r="J43"/>
  <c r="H43" s="1"/>
  <c r="H26" i="1" l="1"/>
  <c r="J40" i="4"/>
  <c r="L10"/>
  <c r="G10" i="10" s="1"/>
  <c r="K42" i="4"/>
  <c r="G42" i="10"/>
  <c r="J42" s="1"/>
  <c r="J19"/>
  <c r="I19" s="1"/>
  <c r="H42" i="4"/>
  <c r="J18" i="10"/>
  <c r="I18" s="1"/>
  <c r="J17"/>
  <c r="I17" s="1"/>
  <c r="L9" i="4"/>
  <c r="J15" i="10"/>
  <c r="I15" s="1"/>
  <c r="J14"/>
  <c r="I14" s="1"/>
  <c r="I41" i="4"/>
  <c r="H41" s="1"/>
  <c r="G9" i="10"/>
  <c r="J11"/>
  <c r="H40" i="4" l="1"/>
  <c r="O19" i="10"/>
  <c r="I40" i="4"/>
  <c r="O14" i="10"/>
  <c r="O18"/>
  <c r="F9"/>
  <c r="O15"/>
  <c r="O42"/>
  <c r="I42"/>
  <c r="O11"/>
  <c r="I11"/>
  <c r="I10" s="1"/>
  <c r="J10"/>
  <c r="O10" s="1"/>
  <c r="J9"/>
  <c r="I9" s="1"/>
  <c r="O17"/>
  <c r="F42"/>
  <c r="P42" i="4"/>
  <c r="F19" i="3"/>
  <c r="E19" s="1"/>
  <c r="G22"/>
  <c r="H22"/>
  <c r="O9" i="10" l="1"/>
  <c r="F21" i="9"/>
  <c r="H21" s="1"/>
  <c r="F26"/>
  <c r="H26" s="1"/>
  <c r="E21"/>
  <c r="G21" s="1"/>
  <c r="E26"/>
  <c r="G26" s="1"/>
  <c r="D22"/>
  <c r="C22"/>
  <c r="D16"/>
  <c r="C16"/>
  <c r="D7"/>
  <c r="C7"/>
  <c r="F22" i="8" l="1"/>
  <c r="K19"/>
  <c r="K15"/>
  <c r="K14"/>
  <c r="J20"/>
  <c r="J19"/>
  <c r="H21"/>
  <c r="H22"/>
  <c r="K22" s="1"/>
  <c r="G14"/>
  <c r="J14" s="1"/>
  <c r="G18"/>
  <c r="J18" s="1"/>
  <c r="G21"/>
  <c r="G25"/>
  <c r="G26"/>
  <c r="G27"/>
  <c r="F10"/>
  <c r="I10" s="1"/>
  <c r="F11"/>
  <c r="I11" s="1"/>
  <c r="F14"/>
  <c r="I14" s="1"/>
  <c r="F18"/>
  <c r="I18" s="1"/>
  <c r="E27"/>
  <c r="C27" s="1"/>
  <c r="E26"/>
  <c r="C26" s="1"/>
  <c r="D25"/>
  <c r="E24"/>
  <c r="D24"/>
  <c r="E8"/>
  <c r="D8"/>
  <c r="C8"/>
  <c r="L9" i="1"/>
  <c r="M9"/>
  <c r="H9" i="8" s="1"/>
  <c r="K9" s="1"/>
  <c r="J27" l="1"/>
  <c r="G9"/>
  <c r="J9" s="1"/>
  <c r="K9" i="1"/>
  <c r="F21" i="8"/>
  <c r="D23"/>
  <c r="D7" s="1"/>
  <c r="C24"/>
  <c r="C25"/>
  <c r="E25"/>
  <c r="E23" s="1"/>
  <c r="C23" l="1"/>
  <c r="J26"/>
  <c r="J25"/>
  <c r="E7"/>
  <c r="C7"/>
  <c r="H13" i="3" l="1"/>
  <c r="F12" i="9" s="1"/>
  <c r="H12" s="1"/>
  <c r="G13" i="3"/>
  <c r="E12" i="9" s="1"/>
  <c r="G12" s="1"/>
  <c r="L11" i="1"/>
  <c r="G11" i="8" s="1"/>
  <c r="J11" s="1"/>
  <c r="M11" i="1"/>
  <c r="H11" i="8" s="1"/>
  <c r="K11" s="1"/>
  <c r="L10" i="1"/>
  <c r="G10" i="8" s="1"/>
  <c r="J10" s="1"/>
  <c r="M10" i="1"/>
  <c r="H10" i="8" s="1"/>
  <c r="K10" l="1"/>
  <c r="E11" i="5" l="1"/>
  <c r="M39" i="4"/>
  <c r="H39" i="10" s="1"/>
  <c r="L39" i="4"/>
  <c r="G39" i="10" s="1"/>
  <c r="J39" s="1"/>
  <c r="M38" i="4"/>
  <c r="H38" i="10" s="1"/>
  <c r="K38" s="1"/>
  <c r="G38"/>
  <c r="M37" i="4"/>
  <c r="H37" i="10" s="1"/>
  <c r="I37" s="1"/>
  <c r="K36" i="4"/>
  <c r="O36" s="1"/>
  <c r="M35"/>
  <c r="H35" i="10" s="1"/>
  <c r="K35" s="1"/>
  <c r="M34" i="4"/>
  <c r="H34" i="10" s="1"/>
  <c r="K34" s="1"/>
  <c r="L34" i="4"/>
  <c r="G34" i="10" s="1"/>
  <c r="M33" i="4"/>
  <c r="H33" i="10" s="1"/>
  <c r="L33" i="4"/>
  <c r="G33" i="10" s="1"/>
  <c r="M31" i="4"/>
  <c r="H31" i="10" s="1"/>
  <c r="K31" s="1"/>
  <c r="L31" i="4"/>
  <c r="G31" i="10" s="1"/>
  <c r="L30" i="4"/>
  <c r="G30" i="10" s="1"/>
  <c r="J30" s="1"/>
  <c r="O30" s="1"/>
  <c r="M30" i="4"/>
  <c r="H30" i="10" s="1"/>
  <c r="L23" i="4"/>
  <c r="G23" i="10" s="1"/>
  <c r="M23" i="4"/>
  <c r="H23" i="10" s="1"/>
  <c r="K23" s="1"/>
  <c r="L24" i="4"/>
  <c r="G24" i="10" s="1"/>
  <c r="M24" i="4"/>
  <c r="H24" i="10" s="1"/>
  <c r="K24" s="1"/>
  <c r="L25" i="4"/>
  <c r="G25" i="10" s="1"/>
  <c r="J25" s="1"/>
  <c r="M25" i="4"/>
  <c r="H25" i="10" s="1"/>
  <c r="K25" s="1"/>
  <c r="L26" i="4"/>
  <c r="M26"/>
  <c r="L27"/>
  <c r="G27" i="10" s="1"/>
  <c r="J27" s="1"/>
  <c r="M27" i="4"/>
  <c r="H27" i="10" s="1"/>
  <c r="L28" i="4"/>
  <c r="G28" i="10" s="1"/>
  <c r="M28" i="4"/>
  <c r="H28" i="10" s="1"/>
  <c r="K28" s="1"/>
  <c r="L29" i="4"/>
  <c r="G29" i="10" s="1"/>
  <c r="J29" s="1"/>
  <c r="M29" i="4"/>
  <c r="H29" i="10" s="1"/>
  <c r="K29" s="1"/>
  <c r="I10" i="4"/>
  <c r="H10" s="1"/>
  <c r="H9"/>
  <c r="J36"/>
  <c r="I22"/>
  <c r="J22"/>
  <c r="H44"/>
  <c r="I32"/>
  <c r="L32" s="1"/>
  <c r="J32"/>
  <c r="M32" s="1"/>
  <c r="K39"/>
  <c r="K38"/>
  <c r="K34"/>
  <c r="K33"/>
  <c r="K31"/>
  <c r="K29"/>
  <c r="K28"/>
  <c r="K21"/>
  <c r="K20"/>
  <c r="K19"/>
  <c r="K18"/>
  <c r="K17"/>
  <c r="K16"/>
  <c r="K15"/>
  <c r="K14"/>
  <c r="K13"/>
  <c r="K12"/>
  <c r="K11"/>
  <c r="K9"/>
  <c r="H11"/>
  <c r="H12"/>
  <c r="H13"/>
  <c r="H14"/>
  <c r="H15"/>
  <c r="H16"/>
  <c r="H17"/>
  <c r="H18"/>
  <c r="H19"/>
  <c r="H20"/>
  <c r="H21"/>
  <c r="H23"/>
  <c r="H24"/>
  <c r="H25"/>
  <c r="H26"/>
  <c r="H27"/>
  <c r="H28"/>
  <c r="H29"/>
  <c r="H30"/>
  <c r="H33"/>
  <c r="H34"/>
  <c r="L35"/>
  <c r="G35" i="10" s="1"/>
  <c r="H36" i="4"/>
  <c r="H37"/>
  <c r="H38"/>
  <c r="H39"/>
  <c r="H18" i="3"/>
  <c r="F17" i="9" s="1"/>
  <c r="H17" s="1"/>
  <c r="G20" i="3"/>
  <c r="E19" i="9" s="1"/>
  <c r="G19" s="1"/>
  <c r="H20" i="3"/>
  <c r="F19" i="9" s="1"/>
  <c r="H19" s="1"/>
  <c r="G21" i="3"/>
  <c r="E20" i="9" s="1"/>
  <c r="G20" s="1"/>
  <c r="H21" i="3"/>
  <c r="G24"/>
  <c r="E23" i="9" s="1"/>
  <c r="G23" s="1"/>
  <c r="H24" i="3"/>
  <c r="F23" i="9" s="1"/>
  <c r="H23" s="1"/>
  <c r="G25" i="3"/>
  <c r="E24" i="9" s="1"/>
  <c r="G24" s="1"/>
  <c r="H25" i="3"/>
  <c r="F24" i="9" s="1"/>
  <c r="H24" s="1"/>
  <c r="E25"/>
  <c r="G25" s="1"/>
  <c r="H26" i="3"/>
  <c r="F25" i="9" s="1"/>
  <c r="H25" s="1"/>
  <c r="G28" i="3"/>
  <c r="E27" i="9" s="1"/>
  <c r="G27" s="1"/>
  <c r="H28" i="3"/>
  <c r="F27" i="9" s="1"/>
  <c r="H27" s="1"/>
  <c r="E23" i="3"/>
  <c r="F23"/>
  <c r="E18"/>
  <c r="G18" s="1"/>
  <c r="E17" i="9" s="1"/>
  <c r="G17" s="1"/>
  <c r="G9" i="3"/>
  <c r="E9" i="9" s="1"/>
  <c r="G9" s="1"/>
  <c r="H9" i="3"/>
  <c r="F9" i="9" s="1"/>
  <c r="H9" s="1"/>
  <c r="G10" i="3"/>
  <c r="H10"/>
  <c r="G11"/>
  <c r="E10" i="9" s="1"/>
  <c r="G10" s="1"/>
  <c r="H11" i="3"/>
  <c r="F10" i="9" s="1"/>
  <c r="H10" s="1"/>
  <c r="G12" i="3"/>
  <c r="E11" i="9" s="1"/>
  <c r="G11" s="1"/>
  <c r="H12" i="3"/>
  <c r="F11" i="9" s="1"/>
  <c r="H11" s="1"/>
  <c r="G14" i="3"/>
  <c r="E13" i="9" s="1"/>
  <c r="G13" s="1"/>
  <c r="H14" i="3"/>
  <c r="F13" i="9" s="1"/>
  <c r="H13" s="1"/>
  <c r="G15" i="3"/>
  <c r="E14" i="9" s="1"/>
  <c r="G14" s="1"/>
  <c r="H15" i="3"/>
  <c r="F14" i="9" s="1"/>
  <c r="H14" s="1"/>
  <c r="G16" i="3"/>
  <c r="E15" i="9" s="1"/>
  <c r="G15" s="1"/>
  <c r="H16" i="3"/>
  <c r="F15" i="9" s="1"/>
  <c r="G8" i="3"/>
  <c r="E8" i="9" s="1"/>
  <c r="H8" i="3"/>
  <c r="F8" i="9" s="1"/>
  <c r="E7" i="3"/>
  <c r="F7"/>
  <c r="D6" i="2"/>
  <c r="M18" i="1"/>
  <c r="H18" i="8" s="1"/>
  <c r="K18" s="1"/>
  <c r="A2" i="2"/>
  <c r="O27" i="1"/>
  <c r="P22"/>
  <c r="O22"/>
  <c r="P21"/>
  <c r="O21"/>
  <c r="P20"/>
  <c r="O20"/>
  <c r="P19"/>
  <c r="O19"/>
  <c r="N20"/>
  <c r="N21"/>
  <c r="N22"/>
  <c r="N26"/>
  <c r="N27"/>
  <c r="C8"/>
  <c r="C7" s="1"/>
  <c r="D8"/>
  <c r="E8"/>
  <c r="F8"/>
  <c r="G8"/>
  <c r="I8"/>
  <c r="H7" i="9" l="1"/>
  <c r="J13" i="8" s="1"/>
  <c r="F7" i="9"/>
  <c r="G7"/>
  <c r="I13" i="8" s="1"/>
  <c r="K13" s="1"/>
  <c r="H23" i="3"/>
  <c r="F22" i="9" s="1"/>
  <c r="H22" s="1"/>
  <c r="E7"/>
  <c r="G23" i="3"/>
  <c r="E22" i="9" s="1"/>
  <c r="G22" s="1"/>
  <c r="J8" i="4"/>
  <c r="J35" i="10"/>
  <c r="O35" s="1"/>
  <c r="R35"/>
  <c r="K24" i="4"/>
  <c r="K25"/>
  <c r="A3" i="3"/>
  <c r="A3" i="10" s="1"/>
  <c r="A3" i="9"/>
  <c r="K27" i="4"/>
  <c r="P27" s="1"/>
  <c r="H32"/>
  <c r="F13" i="10"/>
  <c r="N13" i="4"/>
  <c r="P13"/>
  <c r="F36" i="10"/>
  <c r="P36" i="4"/>
  <c r="N36"/>
  <c r="F14" i="10"/>
  <c r="N14" i="4"/>
  <c r="P14"/>
  <c r="K23"/>
  <c r="K32"/>
  <c r="F34" i="10"/>
  <c r="P34" i="4"/>
  <c r="N34"/>
  <c r="J28" i="10"/>
  <c r="I28" s="1"/>
  <c r="J24"/>
  <c r="I24" s="1"/>
  <c r="K37" i="4"/>
  <c r="F33" i="10"/>
  <c r="N33" i="4"/>
  <c r="P33"/>
  <c r="F15" i="10"/>
  <c r="N15" i="4"/>
  <c r="P15"/>
  <c r="F24" i="10"/>
  <c r="N24" i="4"/>
  <c r="P24"/>
  <c r="F38" i="10"/>
  <c r="N38" i="4"/>
  <c r="P38"/>
  <c r="G32" i="10"/>
  <c r="J33"/>
  <c r="O33" s="1"/>
  <c r="H22" i="4"/>
  <c r="F16" i="10"/>
  <c r="P16" i="4"/>
  <c r="F25" i="10"/>
  <c r="P25" i="4"/>
  <c r="N25"/>
  <c r="F39" i="10"/>
  <c r="P39" i="4"/>
  <c r="O27" i="10"/>
  <c r="I27"/>
  <c r="J23"/>
  <c r="O23" s="1"/>
  <c r="H32"/>
  <c r="K33"/>
  <c r="K32" s="1"/>
  <c r="J38"/>
  <c r="I38" s="1"/>
  <c r="F21"/>
  <c r="P21" i="4"/>
  <c r="F17" i="10"/>
  <c r="P17" i="4"/>
  <c r="N17"/>
  <c r="F27" i="10"/>
  <c r="M22" i="4"/>
  <c r="H22" i="10" s="1"/>
  <c r="H26"/>
  <c r="K26" s="1"/>
  <c r="K22" s="1"/>
  <c r="J34"/>
  <c r="I34" s="1"/>
  <c r="P9" i="4"/>
  <c r="N9"/>
  <c r="F28" i="10"/>
  <c r="O28" i="4"/>
  <c r="P28"/>
  <c r="N28"/>
  <c r="L22"/>
  <c r="G22" i="10" s="1"/>
  <c r="G26"/>
  <c r="J26" s="1"/>
  <c r="O39"/>
  <c r="I39"/>
  <c r="F18"/>
  <c r="P18" i="4"/>
  <c r="N18"/>
  <c r="J31" i="10"/>
  <c r="I31" s="1"/>
  <c r="K35" i="4"/>
  <c r="F11" i="10"/>
  <c r="P11" i="4"/>
  <c r="N11"/>
  <c r="K10"/>
  <c r="F19" i="10"/>
  <c r="P19" i="4"/>
  <c r="N19"/>
  <c r="F29" i="10"/>
  <c r="N29" i="4"/>
  <c r="P29"/>
  <c r="F12" i="10"/>
  <c r="P12" i="4"/>
  <c r="N12"/>
  <c r="F20" i="10"/>
  <c r="P20" i="4"/>
  <c r="N20"/>
  <c r="F31" i="10"/>
  <c r="N31" i="4"/>
  <c r="P31"/>
  <c r="O29" i="10"/>
  <c r="I29"/>
  <c r="O25"/>
  <c r="I25"/>
  <c r="K30"/>
  <c r="K30" i="4"/>
  <c r="F20" i="9"/>
  <c r="H20" s="1"/>
  <c r="K26" i="4"/>
  <c r="I8"/>
  <c r="H8"/>
  <c r="G7" i="3"/>
  <c r="K13" i="1" s="1"/>
  <c r="F13" i="8" s="1"/>
  <c r="H7" i="3"/>
  <c r="L13" i="1" s="1"/>
  <c r="G13" i="8" s="1"/>
  <c r="I35" i="10" l="1"/>
  <c r="N27" i="4"/>
  <c r="O38" i="10"/>
  <c r="O28"/>
  <c r="O31"/>
  <c r="O34"/>
  <c r="I23"/>
  <c r="J22"/>
  <c r="O22" s="1"/>
  <c r="F10"/>
  <c r="P10" i="4"/>
  <c r="N10"/>
  <c r="O26" i="10"/>
  <c r="I26"/>
  <c r="F32"/>
  <c r="F35"/>
  <c r="P35" i="4"/>
  <c r="N35"/>
  <c r="F37" i="10"/>
  <c r="P37" i="4"/>
  <c r="O37"/>
  <c r="N32"/>
  <c r="P32"/>
  <c r="K22"/>
  <c r="F26" i="10"/>
  <c r="P26" i="4"/>
  <c r="N26"/>
  <c r="I33" i="10"/>
  <c r="I32" s="1"/>
  <c r="J32"/>
  <c r="O32" s="1"/>
  <c r="O24"/>
  <c r="F23"/>
  <c r="N23" i="4"/>
  <c r="P23"/>
  <c r="F30" i="10"/>
  <c r="N30" i="4"/>
  <c r="P30"/>
  <c r="I30" i="10"/>
  <c r="K12" i="1"/>
  <c r="F12" i="8" s="1"/>
  <c r="I12" s="1"/>
  <c r="L12" i="1"/>
  <c r="G12" i="8" s="1"/>
  <c r="J12" s="1"/>
  <c r="M12" i="1"/>
  <c r="H12" i="8" s="1"/>
  <c r="M13" i="1"/>
  <c r="H13" i="8" s="1"/>
  <c r="M14" i="1"/>
  <c r="M15"/>
  <c r="L16"/>
  <c r="G16" i="8" s="1"/>
  <c r="J16" s="1"/>
  <c r="L17" i="1"/>
  <c r="M17"/>
  <c r="H17" i="8" s="1"/>
  <c r="K17" s="1"/>
  <c r="K20" i="1"/>
  <c r="F20" i="8" s="1"/>
  <c r="I20" s="1"/>
  <c r="L20" i="1"/>
  <c r="M20"/>
  <c r="H20" i="8" s="1"/>
  <c r="K20" s="1"/>
  <c r="K19" i="1"/>
  <c r="L19"/>
  <c r="M19"/>
  <c r="I23"/>
  <c r="I7" s="1"/>
  <c r="J23"/>
  <c r="H24"/>
  <c r="H25"/>
  <c r="H9"/>
  <c r="F9" i="8" s="1"/>
  <c r="I9" s="1"/>
  <c r="H15" i="1"/>
  <c r="J16"/>
  <c r="H16" s="1"/>
  <c r="K16" s="1"/>
  <c r="F16" i="8" s="1"/>
  <c r="I16" s="1"/>
  <c r="A2" i="4"/>
  <c r="C7" i="3"/>
  <c r="D7"/>
  <c r="C17"/>
  <c r="D17"/>
  <c r="C23"/>
  <c r="D23"/>
  <c r="A3" i="4"/>
  <c r="F24" i="1"/>
  <c r="G24"/>
  <c r="M24" s="1"/>
  <c r="D25"/>
  <c r="F25"/>
  <c r="G26"/>
  <c r="G27"/>
  <c r="I22" i="10" l="1"/>
  <c r="G17" i="8"/>
  <c r="J17" s="1"/>
  <c r="I17" s="1"/>
  <c r="K17" i="1"/>
  <c r="F17" i="8" s="1"/>
  <c r="N19" i="1"/>
  <c r="F19" i="8"/>
  <c r="I19" s="1"/>
  <c r="H24"/>
  <c r="E27" i="1"/>
  <c r="M27"/>
  <c r="K12" i="8"/>
  <c r="F22" i="10"/>
  <c r="N22" i="4"/>
  <c r="P22"/>
  <c r="A2" i="6"/>
  <c r="A2" i="5"/>
  <c r="N14" i="1"/>
  <c r="P14"/>
  <c r="O14"/>
  <c r="P11"/>
  <c r="O11"/>
  <c r="N11"/>
  <c r="N16"/>
  <c r="P16"/>
  <c r="O16"/>
  <c r="N13"/>
  <c r="P13"/>
  <c r="O13"/>
  <c r="P10"/>
  <c r="O10"/>
  <c r="N10"/>
  <c r="P17"/>
  <c r="N17"/>
  <c r="O17"/>
  <c r="D23"/>
  <c r="D7" s="1"/>
  <c r="P18"/>
  <c r="O18"/>
  <c r="N18"/>
  <c r="P12"/>
  <c r="O12"/>
  <c r="N12"/>
  <c r="H8"/>
  <c r="H23"/>
  <c r="M16"/>
  <c r="J8"/>
  <c r="J7" s="1"/>
  <c r="E24"/>
  <c r="C6" i="2"/>
  <c r="E26" i="1"/>
  <c r="G25"/>
  <c r="F23"/>
  <c r="F7" s="1"/>
  <c r="F6" i="2" l="1"/>
  <c r="K27" i="1"/>
  <c r="K43" i="10"/>
  <c r="I43" s="1"/>
  <c r="M43" i="4"/>
  <c r="H27" i="8"/>
  <c r="P27" i="1"/>
  <c r="K24" i="8"/>
  <c r="M8" i="1"/>
  <c r="H16" i="8"/>
  <c r="H7" i="1"/>
  <c r="P9"/>
  <c r="N9"/>
  <c r="O9"/>
  <c r="E25"/>
  <c r="E23" s="1"/>
  <c r="L24"/>
  <c r="G23"/>
  <c r="G7" s="1"/>
  <c r="M25"/>
  <c r="K27" i="8" l="1"/>
  <c r="I27" s="1"/>
  <c r="F27"/>
  <c r="H43" i="10"/>
  <c r="K43" i="4"/>
  <c r="M23" i="1"/>
  <c r="M7" s="1"/>
  <c r="M26"/>
  <c r="H25" i="8"/>
  <c r="K24" i="1"/>
  <c r="N24" s="1"/>
  <c r="G24" i="8"/>
  <c r="K16"/>
  <c r="K8" s="1"/>
  <c r="H8"/>
  <c r="E7" i="1"/>
  <c r="K25"/>
  <c r="L23"/>
  <c r="P24" l="1"/>
  <c r="F25" i="8"/>
  <c r="K25"/>
  <c r="H23"/>
  <c r="H7" s="1"/>
  <c r="F24"/>
  <c r="G23"/>
  <c r="J24"/>
  <c r="K26" i="1"/>
  <c r="M41" i="4"/>
  <c r="H26" i="8"/>
  <c r="F26" s="1"/>
  <c r="L41" i="4"/>
  <c r="O24" i="1"/>
  <c r="P43" i="4"/>
  <c r="F43" i="10"/>
  <c r="P25" i="1"/>
  <c r="K23"/>
  <c r="N25"/>
  <c r="O25"/>
  <c r="F23" i="8" l="1"/>
  <c r="H41" i="10"/>
  <c r="M40" i="4"/>
  <c r="I24" i="8"/>
  <c r="J23"/>
  <c r="O26" i="1"/>
  <c r="P26"/>
  <c r="G41" i="10"/>
  <c r="J41" s="1"/>
  <c r="L40" i="4"/>
  <c r="K41"/>
  <c r="K26" i="8"/>
  <c r="I25"/>
  <c r="K23"/>
  <c r="K7" s="1"/>
  <c r="N23" i="1"/>
  <c r="O23"/>
  <c r="P23"/>
  <c r="I23" i="8" l="1"/>
  <c r="K40" i="4"/>
  <c r="P41"/>
  <c r="O41"/>
  <c r="F41" i="10"/>
  <c r="G40"/>
  <c r="G8" s="1"/>
  <c r="L8" i="4"/>
  <c r="K41" i="10"/>
  <c r="K40" s="1"/>
  <c r="K8" s="1"/>
  <c r="I26" i="8"/>
  <c r="H40" i="10"/>
  <c r="H8" s="1"/>
  <c r="M8" i="4"/>
  <c r="F40" i="10" l="1"/>
  <c r="F8" s="1"/>
  <c r="P40" i="4"/>
  <c r="K8"/>
  <c r="N8" l="1"/>
  <c r="O8"/>
  <c r="P8"/>
  <c r="F17" i="3" l="1"/>
  <c r="E17"/>
  <c r="H19"/>
  <c r="F18" i="9" s="1"/>
  <c r="H18" s="1"/>
  <c r="H17" i="3"/>
  <c r="F16" i="9" s="1"/>
  <c r="H16" s="1"/>
  <c r="J15" i="8" s="1"/>
  <c r="G19" i="3"/>
  <c r="E18" i="9" s="1"/>
  <c r="G18" s="1"/>
  <c r="G17" i="3" l="1"/>
  <c r="E16" i="9" s="1"/>
  <c r="L15" i="1"/>
  <c r="K15" l="1"/>
  <c r="G16" i="9"/>
  <c r="I15" i="8" s="1"/>
  <c r="G15"/>
  <c r="L8" i="1"/>
  <c r="L7" s="1"/>
  <c r="J8" i="8" l="1"/>
  <c r="G8"/>
  <c r="G7" s="1"/>
  <c r="K8" i="1"/>
  <c r="F15" i="8"/>
  <c r="P15" i="1"/>
  <c r="O15"/>
  <c r="N15"/>
  <c r="J7" i="8" l="1"/>
  <c r="I8"/>
  <c r="I7" s="1"/>
  <c r="F8"/>
  <c r="F7" s="1"/>
  <c r="N8" i="1"/>
  <c r="O8"/>
  <c r="K7"/>
  <c r="P8"/>
  <c r="P7" l="1"/>
  <c r="N7"/>
  <c r="O7"/>
  <c r="J40" i="10"/>
  <c r="J8" s="1"/>
  <c r="M40"/>
  <c r="M8"/>
  <c r="O40" l="1"/>
  <c r="O8"/>
  <c r="I41"/>
  <c r="I40" s="1"/>
  <c r="I8" s="1"/>
  <c r="O41"/>
  <c r="O250" i="11" l="1"/>
  <c r="N42"/>
  <c r="O77"/>
  <c r="O174"/>
  <c r="O152" s="1"/>
  <c r="N95"/>
  <c r="O52"/>
  <c r="O222"/>
  <c r="N222"/>
  <c r="N220" s="1"/>
  <c r="N218"/>
  <c r="O78"/>
  <c r="O67"/>
  <c r="O50"/>
  <c r="O39" s="1"/>
  <c r="N110"/>
  <c r="O197"/>
  <c r="O106"/>
  <c r="O252"/>
  <c r="N145"/>
  <c r="N217"/>
  <c r="O66"/>
  <c r="N188"/>
  <c r="O251"/>
  <c r="N141"/>
  <c r="N47"/>
  <c r="N144"/>
  <c r="N72"/>
  <c r="N46"/>
  <c r="O75"/>
  <c r="O107"/>
  <c r="O105"/>
  <c r="O88"/>
  <c r="O65"/>
  <c r="O74"/>
  <c r="N56"/>
  <c r="N139"/>
  <c r="N138"/>
  <c r="O87"/>
  <c r="N55"/>
  <c r="M300"/>
  <c r="N186"/>
  <c r="N61"/>
  <c r="O149"/>
  <c r="N84"/>
  <c r="N279"/>
  <c r="O279"/>
  <c r="O268" s="1"/>
  <c r="N99"/>
  <c r="N100"/>
  <c r="O100"/>
  <c r="O92" s="1"/>
  <c r="O53"/>
  <c r="O151"/>
  <c r="N185"/>
  <c r="N216"/>
  <c r="O131"/>
  <c r="N230"/>
  <c r="N234"/>
  <c r="N44"/>
  <c r="O298"/>
  <c r="O281" s="1"/>
  <c r="N235"/>
  <c r="N231"/>
  <c r="N140"/>
  <c r="O191"/>
  <c r="O82"/>
  <c r="O224"/>
  <c r="N63"/>
  <c r="O81"/>
  <c r="N236"/>
  <c r="N112"/>
  <c r="N45"/>
  <c r="O249"/>
  <c r="N232"/>
  <c r="N196"/>
  <c r="O196"/>
  <c r="O190"/>
  <c r="O189" s="1"/>
  <c r="O183" s="1"/>
  <c r="O221"/>
  <c r="O220" s="1"/>
  <c r="N229"/>
  <c r="N111"/>
  <c r="O150"/>
  <c r="O225"/>
  <c r="O136"/>
  <c r="O135" s="1"/>
  <c r="N180"/>
  <c r="O180"/>
  <c r="O175" s="1"/>
  <c r="N48"/>
  <c r="N41"/>
  <c r="O79"/>
  <c r="O64"/>
  <c r="O54"/>
  <c r="N36"/>
  <c r="N35" s="1"/>
  <c r="N184"/>
  <c r="N70"/>
  <c r="N58"/>
  <c r="O148"/>
  <c r="N96"/>
  <c r="N43"/>
  <c r="N142"/>
  <c r="N93"/>
  <c r="N103"/>
  <c r="O103"/>
  <c r="N197"/>
  <c r="N28" s="1"/>
  <c r="N297"/>
  <c r="O297"/>
  <c r="O51"/>
  <c r="N246"/>
  <c r="N237"/>
  <c r="N57"/>
  <c r="O132"/>
  <c r="N219"/>
  <c r="N187"/>
  <c r="N143"/>
  <c r="O147"/>
  <c r="O76"/>
  <c r="O108"/>
  <c r="N94"/>
  <c r="O89"/>
  <c r="N146"/>
  <c r="O134"/>
  <c r="N60"/>
  <c r="N49"/>
  <c r="N62"/>
  <c r="O80"/>
  <c r="N97"/>
  <c r="O248"/>
  <c r="O73"/>
  <c r="O69" s="1"/>
  <c r="O68"/>
  <c r="N71"/>
  <c r="O104"/>
  <c r="N40"/>
  <c r="O38"/>
  <c r="O37" s="1"/>
  <c r="O133"/>
  <c r="N228"/>
  <c r="O30"/>
  <c r="O29" s="1"/>
  <c r="N98"/>
  <c r="O253"/>
  <c r="O226"/>
  <c r="N233"/>
  <c r="N59"/>
  <c r="O137" l="1"/>
  <c r="O247"/>
  <c r="O245" s="1"/>
  <c r="N26"/>
  <c r="O86"/>
  <c r="O83" s="1"/>
  <c r="O193"/>
  <c r="O223"/>
  <c r="O215" s="1"/>
  <c r="N27"/>
  <c r="O101"/>
  <c r="O130"/>
  <c r="O124" s="1"/>
  <c r="O34"/>
  <c r="O26"/>
  <c r="O28" l="1"/>
  <c r="O27"/>
  <c r="O300"/>
  <c r="N6"/>
  <c r="O25" l="1"/>
  <c r="O6" s="1"/>
</calcChain>
</file>

<file path=xl/sharedStrings.xml><?xml version="1.0" encoding="utf-8"?>
<sst xmlns="http://schemas.openxmlformats.org/spreadsheetml/2006/main" count="779" uniqueCount="434">
  <si>
    <t>+ Nguồn ngân sách huyện cấp</t>
  </si>
  <si>
    <t>+ Nguồn ngân sách tỉnh cấp</t>
  </si>
  <si>
    <t>- Trợ cấp có mục tiêu</t>
  </si>
  <si>
    <t xml:space="preserve"> - Trợ cấp CĐ</t>
  </si>
  <si>
    <t xml:space="preserve"> Thu trợ cấp từ NS cấp trên</t>
  </si>
  <si>
    <t>II</t>
  </si>
  <si>
    <t>Thu tiền khai thác khoáng sản</t>
  </si>
  <si>
    <t>Thu tại xã</t>
  </si>
  <si>
    <t>Thu khác</t>
  </si>
  <si>
    <t>Thuê đất</t>
  </si>
  <si>
    <t>Phí - lệ phí</t>
  </si>
  <si>
    <t>Thuế SD đất phi NN</t>
  </si>
  <si>
    <t>Phí trước bạ</t>
  </si>
  <si>
    <t>Thuế thu nhập cá nhân</t>
  </si>
  <si>
    <t xml:space="preserve"> Thu thuế NQD</t>
  </si>
  <si>
    <t>Thu trên địa bàn</t>
  </si>
  <si>
    <t>I</t>
  </si>
  <si>
    <t>Tổng thu NSNN</t>
  </si>
  <si>
    <t>NSX,  TT</t>
  </si>
  <si>
    <t>NSH</t>
  </si>
  <si>
    <t>NSNN</t>
  </si>
  <si>
    <t>Ghi chú</t>
  </si>
  <si>
    <t>DT năm 2023</t>
  </si>
  <si>
    <t>Tỉnh giao</t>
  </si>
  <si>
    <t xml:space="preserve">Chỉ tiêu </t>
  </si>
  <si>
    <t>STT</t>
  </si>
  <si>
    <t>ĐVT: Triệu đồng</t>
  </si>
  <si>
    <t>(Kèm theo Nghị quyết số             /NQ-HĐND ngày      /11/2022 của HĐND huyện)</t>
  </si>
  <si>
    <t>Việt Ngọc</t>
  </si>
  <si>
    <t>Việt Lập</t>
  </si>
  <si>
    <t>TT Nhã Nam</t>
  </si>
  <si>
    <t>TT Cao Thượng</t>
  </si>
  <si>
    <t>Tân Trung</t>
  </si>
  <si>
    <t>Song Vân</t>
  </si>
  <si>
    <t>Quế Nham</t>
  </si>
  <si>
    <t>Quang Tiến</t>
  </si>
  <si>
    <t>Phúc Sơn</t>
  </si>
  <si>
    <t>Phúc Hòa</t>
  </si>
  <si>
    <t>Ngọc Vân</t>
  </si>
  <si>
    <t>Ngọc Thiện</t>
  </si>
  <si>
    <t>Ngọc Lý</t>
  </si>
  <si>
    <t>Ngọc Châu</t>
  </si>
  <si>
    <t>Liên Sơn</t>
  </si>
  <si>
    <t>Liên Chung</t>
  </si>
  <si>
    <t>Lan Giới</t>
  </si>
  <si>
    <t>Lam Cốt</t>
  </si>
  <si>
    <t xml:space="preserve">Hợp Đức </t>
  </si>
  <si>
    <t>Đại Hóa</t>
  </si>
  <si>
    <t xml:space="preserve">Cao Xá </t>
  </si>
  <si>
    <t xml:space="preserve">An Dương </t>
  </si>
  <si>
    <t>Tổng</t>
  </si>
  <si>
    <t>NSX, TT</t>
  </si>
  <si>
    <t>NST</t>
  </si>
  <si>
    <t>ĐƠn vị</t>
  </si>
  <si>
    <t>- Thu khác</t>
  </si>
  <si>
    <t>- Tịch thu tiền cọc đấu giá đất</t>
  </si>
  <si>
    <t>- Thu bán tài sản nhà nước</t>
  </si>
  <si>
    <t>- Thu hồi khoản chi năm trước</t>
  </si>
  <si>
    <t>Thu khác ngân sách (Thu phạt chậm thuế, thu hồi khoản chi năm trước, tịch thu xung công...</t>
  </si>
  <si>
    <t>Ban quản lý Chợ Mọc</t>
  </si>
  <si>
    <t>Thu phạt vi phạm hành chính trong lĩnh vực trật tự, môi trường</t>
  </si>
  <si>
    <t>Trong đó: Thu phạt ATGT</t>
  </si>
  <si>
    <t>Thu phạt hành chính trong lĩnh vực an ninh trật tự</t>
  </si>
  <si>
    <t>Thu xử phạt vi phạm hành chính, tịch thu trong lĩnh vực thi hành án</t>
  </si>
  <si>
    <t>Phí, lệ phí  khác</t>
  </si>
  <si>
    <t>Lệ phí căn cước công dân</t>
  </si>
  <si>
    <t>Án phí, phí thi hành án dân sự</t>
  </si>
  <si>
    <t>Phí BVMT đối với khai thác TNKS</t>
  </si>
  <si>
    <t xml:space="preserve"> Phí thẩm định cấp quyền SD đất</t>
  </si>
  <si>
    <t>- Phí hộ tịch, hộ khẩu</t>
  </si>
  <si>
    <t>- Phí thẩm định dự án đầu tư XD</t>
  </si>
  <si>
    <t>- Lệ phí cấp phép xây dựng</t>
  </si>
  <si>
    <t>- Lệ phí đăng ký kinh doanh</t>
  </si>
  <si>
    <t xml:space="preserve">Phí, lệ phí </t>
  </si>
  <si>
    <t>Trong đó NS huyện hưởng</t>
  </si>
  <si>
    <t>Đơn vị thực hiện</t>
  </si>
  <si>
    <t>Kế hoạch năm 2023</t>
  </si>
  <si>
    <t>Nhiệm vụ</t>
  </si>
  <si>
    <t>BIỂU CHI TIẾT THU PHÍ, LỆ PHÍ VÀ THU KHÁC NGÂN SÁCH  NĂM 2023</t>
  </si>
  <si>
    <t>Biểu số 02</t>
  </si>
  <si>
    <t>Ngân sách huyện cấp</t>
  </si>
  <si>
    <t>Chi bổ sung có mục tiêu cho các xã, TT</t>
  </si>
  <si>
    <t>Ngân sách tỉnh cấp</t>
  </si>
  <si>
    <t>Chi bổ sung có mục tiêu</t>
  </si>
  <si>
    <t>XIII</t>
  </si>
  <si>
    <t>Nguồn cải cách tiền lương.</t>
  </si>
  <si>
    <t>XI</t>
  </si>
  <si>
    <t>Chi trích lập quỹ khen thưởng</t>
  </si>
  <si>
    <t xml:space="preserve">X </t>
  </si>
  <si>
    <t xml:space="preserve">Dự phòng </t>
  </si>
  <si>
    <t>IX</t>
  </si>
  <si>
    <t>Chi đầu tư phát triển</t>
  </si>
  <si>
    <t>VIII</t>
  </si>
  <si>
    <t>Chi khác ngân sách</t>
  </si>
  <si>
    <t>VII</t>
  </si>
  <si>
    <t>Quốc phòng</t>
  </si>
  <si>
    <t xml:space="preserve">An ninh </t>
  </si>
  <si>
    <t>An ninh - Quốc phòng</t>
  </si>
  <si>
    <t>IV</t>
  </si>
  <si>
    <t>Quản lý hành chính</t>
  </si>
  <si>
    <t>V</t>
  </si>
  <si>
    <t>SN môi trường</t>
  </si>
  <si>
    <t>Trung tâm BDCT huyện</t>
  </si>
  <si>
    <t xml:space="preserve"> SN Giáo dục</t>
  </si>
  <si>
    <t>Sự nghiệp y tế</t>
  </si>
  <si>
    <t xml:space="preserve"> Đảm bảo xã hội</t>
  </si>
  <si>
    <t xml:space="preserve"> SN thể thao</t>
  </si>
  <si>
    <t xml:space="preserve"> SN phát thanh </t>
  </si>
  <si>
    <t xml:space="preserve"> SN văn hoá TT-TT</t>
  </si>
  <si>
    <t>Sự nghiệp Văn xã</t>
  </si>
  <si>
    <t>SN kinh tế khác</t>
  </si>
  <si>
    <t>Dịch vụ công ích thủy lợi</t>
  </si>
  <si>
    <t xml:space="preserve"> Khuyến công, khuyến thương</t>
  </si>
  <si>
    <t>KT thị chính</t>
  </si>
  <si>
    <t>SN thuỷ lợi đê điều</t>
  </si>
  <si>
    <t xml:space="preserve">SN giao thông </t>
  </si>
  <si>
    <t>Trung tâm Kỹ thuật- DVNN</t>
  </si>
  <si>
    <t>TT PTQĐ và CCN</t>
  </si>
  <si>
    <t xml:space="preserve"> SN địa chính</t>
  </si>
  <si>
    <t>SN lâm nghiệp</t>
  </si>
  <si>
    <t>SN nông nghiệp</t>
  </si>
  <si>
    <t>SN nông - lâm -thủy sản</t>
  </si>
  <si>
    <t xml:space="preserve">Sự Nghiệp kinh tế </t>
  </si>
  <si>
    <t>Tổng chi NSNN</t>
  </si>
  <si>
    <t>Dự toán tỉnh giao</t>
  </si>
  <si>
    <t>Chỉ tiêu</t>
  </si>
  <si>
    <t>Thực hiện 5 tháng đầu năm</t>
  </si>
  <si>
    <t>Ước thực hiện 6 tháng</t>
  </si>
  <si>
    <t>So sánh (%)</t>
  </si>
  <si>
    <t>CK năm trước</t>
  </si>
  <si>
    <t>DT tỉnh giao</t>
  </si>
  <si>
    <t>DT huyện giao</t>
  </si>
  <si>
    <t>Thu từ DN ĐP, TW đóng trên địa bàn</t>
  </si>
  <si>
    <t>Thu đóng góp của nhân dân</t>
  </si>
  <si>
    <t>III</t>
  </si>
  <si>
    <t>Thu chuyển nguồn</t>
  </si>
  <si>
    <t>Hoàn trả các cấp NS</t>
  </si>
  <si>
    <t>KẾT QUẢ THU TIỀN SỬ DỤNG ĐẤT 5 THÁNG ĐẦU NĂM 2023</t>
  </si>
  <si>
    <t>KH giao đầu năm</t>
  </si>
  <si>
    <t>Thực hiện 5 tháng đầu năm 2023</t>
  </si>
  <si>
    <t xml:space="preserve">Ước thực hiện 6 tháng </t>
  </si>
  <si>
    <t>- Thu tiền phạt nộp chậm, phạt khác</t>
  </si>
  <si>
    <t>Thực hiện 5 tháng</t>
  </si>
  <si>
    <t>Cộng</t>
  </si>
  <si>
    <t>XIV</t>
  </si>
  <si>
    <t>Hoàn trả khoản NS cấp trên</t>
  </si>
  <si>
    <t>Nội dung chi</t>
  </si>
  <si>
    <t>Số tiền</t>
  </si>
  <si>
    <t>CHI TIẾT CHI KHÁC NGÂN SÁCH 5 THÁNG ĐẦU NĂM 2023</t>
  </si>
  <si>
    <t>Số QĐ</t>
  </si>
  <si>
    <t>2115/QĐ-UBND</t>
  </si>
  <si>
    <t>CN ngân hàng CSXH huyện</t>
  </si>
  <si>
    <t>QĐ 1075/QĐ</t>
  </si>
  <si>
    <t>Hội sinh vật cảnh</t>
  </si>
  <si>
    <t>1597/QĐ-UBND</t>
  </si>
  <si>
    <t>Hội thành cổ Quảng trị</t>
  </si>
  <si>
    <t>2897/QĐ-UBND</t>
  </si>
  <si>
    <t>Hội truyền thống Trường Sơn Đường Hồ Chí Minh</t>
  </si>
  <si>
    <t>1077/QĐ-UBND</t>
  </si>
  <si>
    <t>Hội Nông dân</t>
  </si>
  <si>
    <t>1078/QĐ-UBND</t>
  </si>
  <si>
    <t>Phòng NN&amp;PTNT</t>
  </si>
  <si>
    <t>Mua hóa chất tiêu độc khử trùng phục vụ công tác phòng chống dịch bệnh động vật</t>
  </si>
  <si>
    <t>2676/QĐ-UBND</t>
  </si>
  <si>
    <t>Hội thi “Tuyên truyền giải phóng mặt bằng”</t>
  </si>
  <si>
    <t>1973/QĐ-UBND</t>
  </si>
  <si>
    <t>Công an huyện</t>
  </si>
  <si>
    <t>Lắp Camera và thiết bị chiếu sáng trên tuyến sông Thương</t>
  </si>
  <si>
    <t>1706/QĐ-UBND</t>
  </si>
  <si>
    <t>Hoạt động phòng cháy chữa cháy và cứu nạn, cứu hộ</t>
  </si>
  <si>
    <t>Nhiệm vụ 6 tháng cuối năm</t>
  </si>
  <si>
    <t>Bổ sung có MT</t>
  </si>
  <si>
    <t>Trong đó</t>
  </si>
  <si>
    <t>NSX</t>
  </si>
  <si>
    <t>Chuyển nguồn</t>
  </si>
  <si>
    <t>Dự án dở dang</t>
  </si>
  <si>
    <t>Nợ các dự án đã hoàn thành chưa phê duyệt quyết toán</t>
  </si>
  <si>
    <t>Trường THCS Việt Ngọc; 
HM: 12 phòng học</t>
  </si>
  <si>
    <t>Trạm y tế xã , HM: Kè ao, bếp, kho, nhà VS</t>
  </si>
  <si>
    <t>Đường nội đồng từ trại Hạ đi thôn An Lạc 1, xã Việt Ngọc; Giai đoạn 1: Đường từ ngã tư nhà trẻ đi suối Hoàng Thanh</t>
  </si>
  <si>
    <t>Trụ Sở UBND xã Việt Ngọc: HM: San nền, sân vườn, sơn nhà làm việc 3 tầng, bể nước</t>
  </si>
  <si>
    <t>Phụ trợ Nhà văn hóa Việt Ngọc; HM: Tường rào, rãnh thoát nước, sân</t>
  </si>
  <si>
    <t>Kênh đồng suối xã Việt Ngọc</t>
  </si>
  <si>
    <t>Nhà văn hóa xã Việt Ngọc</t>
  </si>
  <si>
    <t>Đường BT liên xã đoạn từ tỉnh lộ 295 đi tỉnh lộ 297</t>
  </si>
  <si>
    <t>Trường MN xã Việt Ngọc HM: Nhà lớp học 8 phòng</t>
  </si>
  <si>
    <t>Đường nội đồng từ đồng chặng đi Đồng đẹp</t>
  </si>
  <si>
    <t>Đường BTXM 295 đi Đồng Xứng : HM: Rãnh thoát nước</t>
  </si>
  <si>
    <t>Nhà chức năng trường THCS</t>
  </si>
  <si>
    <t>Nhà đa năng UBND xã</t>
  </si>
  <si>
    <t xml:space="preserve">Nhà chức năng trường TH </t>
  </si>
  <si>
    <t>Các dự án đã quyết toán</t>
  </si>
  <si>
    <t>Cải tạo, sửa chữa Nhà làm việc UBND xã</t>
  </si>
  <si>
    <t xml:space="preserve">Cải tạo, nâng cấp nghĩa trang liệt sỹ </t>
  </si>
  <si>
    <t>Kênh thoát nước từ QL17 ra Đồng sau thôn Kim Tràng</t>
  </si>
  <si>
    <t>Đường BTXM và kênh dẫn nước từ Cầu Cần đi Kim Tràng</t>
  </si>
  <si>
    <t>Cải tạo 18 phòng trường THCS</t>
  </si>
  <si>
    <t>Cải tạo, nâng cấp 12 phòng trường Tiểu học</t>
  </si>
  <si>
    <t>Cải tạo, nâng cấp nhà văn hóa xã Việt Lập</t>
  </si>
  <si>
    <t>Hệ thống kênh xử lý nước thải từ khu công nghiệp Văn Miếu đi Nội Hạc</t>
  </si>
  <si>
    <t>Phụ trợ MN khu Đầu Cần, xa Việt Lập</t>
  </si>
  <si>
    <t>Nợ các dự án đã được phê duyệt quyết toán</t>
  </si>
  <si>
    <t>Cải tạo sửa chữa nhà văn hóa TDP Tiến Phan 1, Bài, Tân Quang</t>
  </si>
  <si>
    <t>Tu bổ tôn tạo đền Gốc Khế</t>
  </si>
  <si>
    <t>Cải tạo nâng cấp đường vào khu di tích đền Đề Truật</t>
  </si>
  <si>
    <t>Cải tạo nâng cấp Nghĩa trang Liệt sỹ</t>
  </si>
  <si>
    <t>Cải tạo, sửa chữa nhà làm việc và một số hạng mục trụ sở Đồn Công an phụ trách TT Nhã Nam</t>
  </si>
  <si>
    <t>Cải tạo sửa chữa khuôn viên Đồi Phủ</t>
  </si>
  <si>
    <t>Dự án san lấp mở rộng bãi rác thải Ba Mô</t>
  </si>
  <si>
    <t>Cải tạo, nâng tầng 3 nhà lớp học 2 tầng  trường THCS</t>
  </si>
  <si>
    <t>Trường THCS thị trấn Nhã Nam (Hạng mục 2 phòng học, phòng chức năng, phòng hành chính)</t>
  </si>
  <si>
    <t>Nhà văn hóa Thị trấn Nhã Nam</t>
  </si>
  <si>
    <t>Các dự án dở dang</t>
  </si>
  <si>
    <t>Các dự án đã hoàn thành và bàn giao đưa vào sử dụng chưa QT</t>
  </si>
  <si>
    <t>-</t>
  </si>
  <si>
    <t>Các dự án đã được phê duyệt quyết toán</t>
  </si>
  <si>
    <t>Thị trấn Nhã Nam</t>
  </si>
  <si>
    <t>Dự án dang dỏ</t>
  </si>
  <si>
    <t>Cổng, nhà bảo vệ trường TH thị trấn Cao Thượng</t>
  </si>
  <si>
    <t>Mở rộng trụ sở làm việc ĐU, HĐND, UBND thị trấn Cao Thượng</t>
  </si>
  <si>
    <t>Xây mới 18 phòng Tiểu học Cao Thượng</t>
  </si>
  <si>
    <t>Xây mới 15 phòng THCS Cao Thượng</t>
  </si>
  <si>
    <t>Cải tạo 14 phòng học và các hạng mục phụ trợ trường Tiểu học Cao Thượng</t>
  </si>
  <si>
    <t>Trường TH Tân Trung, HM: phá dỡ nhà lớp học, lát sân</t>
  </si>
  <si>
    <t>Xây mới NLH 2 tầng 6 phòng trường MN Tân Trung</t>
  </si>
  <si>
    <t>Xây dựng nhà hiệu bộ và các hạng mục phụ trợ trường MN Tân Trung</t>
  </si>
  <si>
    <t>Các công trình dở dang</t>
  </si>
  <si>
    <t>Phụ trợ NVH thôn Công Bằng</t>
  </si>
  <si>
    <t>Tu bổ, tôn tạo di tích chùa Đồng Điều, xã Tân Trung, huyện Tân Yên (gđ 1)</t>
  </si>
  <si>
    <t>Các dự án đã NT bàn giao đưa vào sử dụng chưa QT</t>
  </si>
  <si>
    <t>Xây dựng nhà thi đấu UBND xã Tân Trung</t>
  </si>
  <si>
    <t>Trưởng TH Tân Trung, HM: NLH 18 phòng</t>
  </si>
  <si>
    <t>Sửa chữa trụ sở làm việc UBND xã</t>
  </si>
  <si>
    <t>Đường quốc lộ 17 đi Gia Tiến</t>
  </si>
  <si>
    <t>Cổng trường THCS</t>
  </si>
  <si>
    <t>Cổng trường mầm non</t>
  </si>
  <si>
    <t>Nhà văn hóa xã Tân Trung</t>
  </si>
  <si>
    <t>cổng tường rào THCS</t>
  </si>
  <si>
    <t>Trường tiểu học(Bậc hè, nhà xe)</t>
  </si>
  <si>
    <t>Phụ trợ trường Tiểu học xã Song Vân; HM: Nhà vệ sinh</t>
  </si>
  <si>
    <t>Tu bổ tôn tạo, di tích Chùa Vồng; HM: nhà bao che, bia ghi chiến tích, sự kiện</t>
  </si>
  <si>
    <t>Trường THCS xã Song Vân; HM: NLH 18 phòng</t>
  </si>
  <si>
    <t>Trường Tiểu học Song Vân; HM: NLH 18 phòng</t>
  </si>
  <si>
    <t>Nhà Văn hóa xã Song Vân</t>
  </si>
  <si>
    <t>Đường BTXM từ kênh chính đi thôn Chậu đến Tân Lập xã Song Vân giai đoạn 3</t>
  </si>
  <si>
    <t>Nhà lớp học 6 phòng trường Tiểu học</t>
  </si>
  <si>
    <t>Xây dựng điểm thu gom rác thải tập trung xã Quế Nham</t>
  </si>
  <si>
    <t>Tu bổ tôn tạo di tích Đình Phú Khê</t>
  </si>
  <si>
    <t>Xây mới khu nhà hiệu bộ, và công trình phụ trợ trường Tiểu học Quế Nham</t>
  </si>
  <si>
    <t>Công trình chưa QT</t>
  </si>
  <si>
    <t>Cải tạo nâng cấp trường THCS</t>
  </si>
  <si>
    <t>Nâng cấp tuyến đường QL17 đi Trung tâm xã đi thôn Ba Làng, xã Quế Nham</t>
  </si>
  <si>
    <t>Xây mới nhà lớp học trường Tiểu học Quế Nham (HM: Nhà 2 tầng 8 phòng học)</t>
  </si>
  <si>
    <t xml:space="preserve">Xây dựng 8P học chức năng trường THCS Quế Nham </t>
  </si>
  <si>
    <t>Xây mới nhà VH Đông Bến</t>
  </si>
  <si>
    <t>Xây mới Trạm Y tế xã, HM: 14 phòng</t>
  </si>
  <si>
    <t>Phụ trợ Mầm Non xã Quế Nham.HM: Nhà hiệu bộ, lát sân.</t>
  </si>
  <si>
    <t>Xây dựng trường Tiểu học xã Quế Nham. HM: 6 phòng học</t>
  </si>
  <si>
    <t>Trường Mầm Non xã Quế Nham,HM: Nhà lớp học 2 tầng 6 phòng học</t>
  </si>
  <si>
    <t xml:space="preserve">Công trình xã đã phê duyệt quyết toán </t>
  </si>
  <si>
    <t>Trường Tiểu học Nguyên Hồng; HM: NLH 15 phòng và các hạng mục phụ trợ</t>
  </si>
  <si>
    <t>Trạm Y tế xã Phúc Sơn; HM: Các công trình phụ trợ</t>
  </si>
  <si>
    <t>Trường Tiểu học Phúc Sơn. HM: Nhà lớp học 12P, Nhà hiệu bộ</t>
  </si>
  <si>
    <t>Cải tạo, nâng cấp NTLS xã Phúc Sơn</t>
  </si>
  <si>
    <t>Cải tạo, nâng cấp NVH xã</t>
  </si>
  <si>
    <t>Trường THCS 8 phòng</t>
  </si>
  <si>
    <t>Trường Mầm non 6 phòng</t>
  </si>
  <si>
    <t>Dự án đã được phê duyệt quyết toán</t>
  </si>
  <si>
    <t>Đầu tư xây dựng nhà làm việc UBND xã Phúc Hòa</t>
  </si>
  <si>
    <t>Nhà lớp học 06 phòng trường tiểu học xã Phúc Hòa.</t>
  </si>
  <si>
    <t>Cải tạo, nâng cấp đường BTXM từ Quất Du 1 đi Vối, xã Phúc Hòa</t>
  </si>
  <si>
    <t>Tường rào Trường Tiểu học Phúc Hòa</t>
  </si>
  <si>
    <t>Đường Nội đồng thôn  Cầu Mới xã Ngọc Vân</t>
  </si>
  <si>
    <t>Xây dựng CSHT khu dân cư thôn Hội Trên  xã Ngọc Vân</t>
  </si>
  <si>
    <t xml:space="preserve">Sửa chữa trụ sở làm việc UBND xã </t>
  </si>
  <si>
    <t>Xây mới 18 phòng trường Tiểu học Ngọc vân</t>
  </si>
  <si>
    <t xml:space="preserve">Phụ trợ sân vận động xã </t>
  </si>
  <si>
    <t>Đường từ tỉnh lộ 295 đi các thôn Núi Ính, Hợp Tiến, Đồng Cờ, Trung tâm xã cứng hóa đường liên thôn Núi Ính-Đường 295</t>
  </si>
  <si>
    <t>Sân Vận động xã</t>
  </si>
  <si>
    <t>Phụ trợ UBND xã Ngọc Vân xã ( hạng mục sân, tường rào, cổng..)</t>
  </si>
  <si>
    <t>Nhà lớp học 2 phòng trường Mầm non số 1 Khu B</t>
  </si>
  <si>
    <t>Đường Đồng Khanh đi Núi Ba Cây</t>
  </si>
  <si>
    <t xml:space="preserve">Xây tường bao , lát sân khu B trường Tiểu học , Mầm non 1 </t>
  </si>
  <si>
    <t>Sửa chữa nhà làm việc cũ xã Ngọc Vân</t>
  </si>
  <si>
    <t>Hạ tầng dân cư thôn Đồng Gai -Làng Thị gđ 2</t>
  </si>
  <si>
    <t>Hạ tầng dân cư thôn Đồng Gai -Làng Thị gđ 1</t>
  </si>
  <si>
    <t>Trường THCS Ngọc Vân, hạng mục nhà hiệu bộ và các hạng mục phụ trợ</t>
  </si>
  <si>
    <t xml:space="preserve">Trường THCS Ngọc Vân, hạng mục nhà lớp học 3 tầng 15 phòng </t>
  </si>
  <si>
    <t>Sửa chữa nghĩa trang mộ liệt sỹ xã Ngọc Vân, hạng mục cải tạo sân, đường….</t>
  </si>
  <si>
    <t>Xây mơi nhà công an quân sự</t>
  </si>
  <si>
    <t>Nhà lớp học 2 tầng 4 phòng học trường Tiểu học</t>
  </si>
  <si>
    <t>Xây nhà lớp học trường MN số 2 và phụ trợ</t>
  </si>
  <si>
    <t>Tu bổ di tich lịch sư VH đền thờ ông Nguyễn văn Liễu</t>
  </si>
  <si>
    <t>Trường TH Ngọc Thiện 1; HM: NLH 15 phòng, nhà hiệu bộ</t>
  </si>
  <si>
    <t>XD cầu Bỉ, xã Ngọc Thiện</t>
  </si>
  <si>
    <t>Đườn BTXM kênh ông cụ đi Tân Lập</t>
  </si>
  <si>
    <t>Cai tạo, sủa chữa trụ sở UBND xã</t>
  </si>
  <si>
    <t>Nhà Văn hóa thôn Tam Hà</t>
  </si>
  <si>
    <t>Nhà Văn hóa thôn Mỗ</t>
  </si>
  <si>
    <t>Cải tạo ,nâng cấp 7 phòng học trường TH số 1</t>
  </si>
  <si>
    <t>Cải tạo nghĩa trang liệt sí</t>
  </si>
  <si>
    <t>Đường kênh chính qua UBND xã, đi Thương Lan</t>
  </si>
  <si>
    <t>Xây cống Cầu Đá (Cầu Đồng 9)</t>
  </si>
  <si>
    <t>Xây mới nhà lớp học 15 phòng 3 tầng các các hạng mục phụ trợ trường tiểu học Ngọc Lý</t>
  </si>
  <si>
    <t>Xây mới nhà hiệu bộ, NLH chức năng, lớp học văn hóa và các hạng mục phụ trợ trường THCS Ngọc Lý</t>
  </si>
  <si>
    <t xml:space="preserve">Xây mới Nhà làm việc UBND </t>
  </si>
  <si>
    <t>Xây bếp trường Mầm non</t>
  </si>
  <si>
    <t>Các dự án đã hoàn thành, chưa quyết toán</t>
  </si>
  <si>
    <t>Sửa chữa quét sơn nhà làm việc ủy ban</t>
  </si>
  <si>
    <t>Nâng cấp đường BTXM qua cổng chợ, qua trường Mầm non</t>
  </si>
  <si>
    <t>Cải tạo, nâng cấp 6 phòng học tầng 2 trường TH</t>
  </si>
  <si>
    <t>Đường Liên xã từ cổng trại giam đi ĐT 298 xã Ngọc Lý</t>
  </si>
  <si>
    <t>Các dự án đã được phê duyệt QT</t>
  </si>
  <si>
    <t>Lắp đặt dụng cụ thể dục thể thao ngoài trời khu TTVH các thôn, UBND xã Ngọc Châu</t>
  </si>
  <si>
    <t>Đèn điện thắp sáng đường 295 vào UBND và hệ thống biển báo giao thông đường trục xã</t>
  </si>
  <si>
    <t>Tuyến chùa Mạc thôn Khánh Ninh đi Trại Mới</t>
  </si>
  <si>
    <t>Cải tạo nâng cấp mương cứng Tân Minh đi Bằng Cục</t>
  </si>
  <si>
    <t>Đường Cầu Trung Đồng đi Na Nấn Bằng Cục</t>
  </si>
  <si>
    <t>Nâng cấp đường trục xã trường THCS đi Tân Minh</t>
  </si>
  <si>
    <t>Cải tạo nâng cấp phòng một cửa và trụ sở UBND xã Ngọc Châu</t>
  </si>
  <si>
    <t>Xây dựng Nhà làm việc Công an xã Ngọc Châu</t>
  </si>
  <si>
    <t>Xây dựng nhà đa năng trường THCS xã Ngọc Châu</t>
  </si>
  <si>
    <t>Trường Tiểu học. Hạng mục: 3 phòng học chức năng</t>
  </si>
  <si>
    <t>Sửa chữa Đình Bằng Cục (giai đoạn 1)</t>
  </si>
  <si>
    <t>Tu bổ di tích chùa Dương Sơn</t>
  </si>
  <si>
    <t>Xây dựng trụ sở Công an xã</t>
  </si>
  <si>
    <t>Trạm Y tế xã Liên Sơn</t>
  </si>
  <si>
    <t>Trường THCS Liên Sơn; HM: NLH 12 phòng và các hạng mục phụ trợ</t>
  </si>
  <si>
    <t>4 phòng học trường mầm non</t>
  </si>
  <si>
    <t>XD 06 phòng học trường Tiểu học</t>
  </si>
  <si>
    <t>XD nhà văn hóa xã</t>
  </si>
  <si>
    <t>XD nhà lớp học 2P trường Tiểu học</t>
  </si>
  <si>
    <t>XD nhà chức năng trường THCS</t>
  </si>
  <si>
    <t>XD trụ sở UBND xã</t>
  </si>
  <si>
    <t xml:space="preserve">Xây dựng mới 8 phòng học, nhà hiệu bộ và các hạng mục phụ trợ trường MN </t>
  </si>
  <si>
    <t>Đường BTXM từ UBND xã đi Tiến Thắng</t>
  </si>
  <si>
    <t>Các dự án đã hoàn thành chưa QT</t>
  </si>
  <si>
    <t>Cải tạo 10 phòng học trường Tiểu học xã Lan Giới</t>
  </si>
  <si>
    <t>Các dự án  đã được phê duyệt quyết toán</t>
  </si>
  <si>
    <t>Xây mới trường MN khu A (6 phòng học và các hạng mục phụ trợ)</t>
  </si>
  <si>
    <t>Cải tạo đường BTXM từ đường Cao Xá - Lam Cốt đi Vân Thành, Đồng Lạng và đi An Liễu (từ dốc núi Am đến nhà ông Tuấn)</t>
  </si>
  <si>
    <t>Cải tạo, sửa chữa nhà truyền thống xã Lam Cốt và các hạng mục phụ trợ</t>
  </si>
  <si>
    <t>Nhà hiệu bộ trường TH Lam Cốt</t>
  </si>
  <si>
    <t>Cải tạo nâng cấp đường từ gốc đa Đông Thành, xã Lam Cốt đi xã Song Vân</t>
  </si>
  <si>
    <t>Đường BTXM từ Trạm điện 2 thôn Kép Thượng đi cửa Đình Trung, thôn Trung Thành, xã Lam Cốt, huyện Tân Yên</t>
  </si>
  <si>
    <t>Nhà hiệu bộ, nhà lớp học và các hạng mục phụ trợ trường Tiểu học xã Lam Cốt.</t>
  </si>
  <si>
    <t>Cải tạo nhà làm việc và các công trình phụ trợ UBND xã (Sân, tường rào, khuôn viên, phòng làm việc, Nhà đa năng)</t>
  </si>
  <si>
    <t>Các dự án đã hoàn thành, chưa QT</t>
  </si>
  <si>
    <t>Kênh cứng thôn Chản (từ Bờ đê đi ông Sổ), xã Lam Cốt, huyện Tân Yên, dài 1,2km</t>
  </si>
  <si>
    <t>Đường BTXM từ đầu đường Cao Xá - Lam Cốt đi Nhà văn hóa thôn Đồng Lạng, đi Nhà văn hóa thôn An Liễu đi đường nhựa bờ đê.</t>
  </si>
  <si>
    <t>Công trình đã Quyết toán</t>
  </si>
  <si>
    <t>Mở rộng khuôn viên và xây dựng nhà làm việc Công an xã Hợp Đức</t>
  </si>
  <si>
    <t>Sân vận động trung tâm xã</t>
  </si>
  <si>
    <t>Trường MN trung tâm Hợp Đức; HM: NLH 12P và các hạng mục phụ trợ</t>
  </si>
  <si>
    <t>Trường THCS Hợp Đức, HM: NLH 15 phòng</t>
  </si>
  <si>
    <t>Nhà hiệu bộ trường THCS</t>
  </si>
  <si>
    <t>Đường BTXM sau UBND xã</t>
  </si>
  <si>
    <t>Hiệu bộ cấp 1</t>
  </si>
  <si>
    <t>Sửa trạm Y tế</t>
  </si>
  <si>
    <t>Nhà tiếp công dân</t>
  </si>
  <si>
    <t>Trụ sở UBND xã</t>
  </si>
  <si>
    <t>12 phòng trường TH Hợp Đức</t>
  </si>
  <si>
    <t>Hợp Đức</t>
  </si>
  <si>
    <t>Kênh cứng thôn Đồi Vàng (Từ Kênh 1/5 đi ông Oai thôn Chúc dài 1250m)</t>
  </si>
  <si>
    <t>Cứng hóa kênh khu đồng Ly, Tiêu, Sau Đào, Đám Mạ, thôn Đồi Chính, xã Đại Hóa, 2300m</t>
  </si>
  <si>
    <t>Đường nội đồng thôn Đồi Chính, xã Đại Hóa, 1.400m</t>
  </si>
  <si>
    <t>Công trình hoàn thành chưa QT</t>
  </si>
  <si>
    <t>Xây dựng Trưởng TH Đại Hóa, HM: Nhà lớp học 15P, 3 tầng; nhà hiệu bộ và các hạng mục phụ trợ</t>
  </si>
  <si>
    <t>Xây dựng 06 phòng học Trường Tiểu học xã Đại Hóa, HM: 03 phòng chức năng</t>
  </si>
  <si>
    <t>Xây dựng 06 phòng học Trường Tiểu học xã Đại Hóa, HM: 03 phòng học</t>
  </si>
  <si>
    <t>Đường bê tông Chúc đi chợ Đại Hóa</t>
  </si>
  <si>
    <t>Nhà văn hóa xã</t>
  </si>
  <si>
    <t>Đường bê tông Phú Thành đi Quang Lâm</t>
  </si>
  <si>
    <t>Cải tạo, nâng cấp, sửa chữa 8 phòng khám chữa bệnh trạm y tế xã Đại Hóa</t>
  </si>
  <si>
    <t>Cải tạo, sửa chữa, xây mới trạm y tế xã(HM: Nhà hội trường)</t>
  </si>
  <si>
    <t>Đường BTXM NTLS đi bà Cương</t>
  </si>
  <si>
    <t xml:space="preserve"> Đại Hóa</t>
  </si>
  <si>
    <t>Đường từ TL298 đi thôn Trung, thôn Hạ, thôn Trại, xã Cao Xá</t>
  </si>
  <si>
    <t>Nhà lớp học 4 phòng trường MN</t>
  </si>
  <si>
    <t>Cao Xá</t>
  </si>
  <si>
    <t>Nâng cấp đường nội đồng thôn Mai Châu, thôn Đồng Ván (doạn từ cổng ông Tuyên đi cổng ông Tân; từ cổng ông Can đi cổng ông Khoát)</t>
  </si>
  <si>
    <t>Cứng hóa kênh thôn Am Ngàn, thôn Đồng Ván (đoạn từ cổng bà Thịnh đi cổng ông Trọng; từ cổng ông Tuyên đi cổng ông Tân)</t>
  </si>
  <si>
    <t>An Dương</t>
  </si>
  <si>
    <t>Dự án cấp xã quản lý</t>
  </si>
  <si>
    <t>B</t>
  </si>
  <si>
    <t>Công trình …………..</t>
  </si>
  <si>
    <t>Đường quy hoạch từ QL 17 ( đoạn khu dân cư Văn Miếu , Việp Lập) đi tỉnh lộ 298 huyện Tân Yên</t>
  </si>
  <si>
    <t>Đường từ QL 17 vào An Lạc Viên Liên Sơn huyện Tân Yên, tỉnh Bắc Giang</t>
  </si>
  <si>
    <t>Dự án cấp huyện quản lý</t>
  </si>
  <si>
    <t>A</t>
  </si>
  <si>
    <t>7=8+…+13</t>
  </si>
  <si>
    <t>Nợ công trình đang thực hiện</t>
  </si>
  <si>
    <t>Vốn khác (**)</t>
  </si>
  <si>
    <t>Vốn NS xã</t>
  </si>
  <si>
    <t>Vốn NS huyện</t>
  </si>
  <si>
    <t>Vốn NS tỉnh (*)</t>
  </si>
  <si>
    <t>Vốn NSTW</t>
  </si>
  <si>
    <t>Tổng số</t>
  </si>
  <si>
    <t>Ước nợ XDCB đến 30/6/2023</t>
  </si>
  <si>
    <t>Tổng giá trị khối lượng thực hiện đã được nghiệm thu đến 31/10/2022</t>
  </si>
  <si>
    <t xml:space="preserve">Lũy kế vốn đã bố trí đến hết ngày 30/5/2023 </t>
  </si>
  <si>
    <t>Tổng mức đầu tư</t>
  </si>
  <si>
    <t>Tổng số dự án</t>
  </si>
  <si>
    <t>Đơn vị</t>
  </si>
  <si>
    <t>Đơn vị tính: triệu đồng</t>
  </si>
  <si>
    <t>828/QĐ-UBND</t>
  </si>
  <si>
    <t>BÁO CÁO THỰC HIỆN DỰ TOÁN THU NSNN 6 THÁNG ĐẦU NĂM 2023</t>
  </si>
  <si>
    <t>Thu tiền sử dụng đất</t>
  </si>
  <si>
    <t>BÁO CÁO THỰC HIỆN DỰ TOÁN CHI NGÂN SÁCH ĐỊA PHƯƠNG NĂM 2023</t>
  </si>
  <si>
    <t>UBND các xã, thị trấn</t>
  </si>
  <si>
    <t>NHIỆM VỤ THỰC HIỆN DỰ TOÁN THU NSNN 6 THÁNG CUỐI NĂM 2023</t>
  </si>
  <si>
    <t>NHIỆM VỤ THU PHÍ, LỆ PHÍ VÀ THU KHÁC NGÂN SÁCH  SÁU THÁNG CUỐI NĂM 2023</t>
  </si>
  <si>
    <t>NHIỆM VỤ THỰC HIỆN DỰ TOÁN CHI NGÂN SÁCH HUYỆN SÁU THÁNG CUỐI NĂM 2023</t>
  </si>
  <si>
    <t>Nhiệm vụ  6 tháng cuối năm</t>
  </si>
  <si>
    <t>+</t>
  </si>
  <si>
    <t>Ban tổ chức Huyện ủy</t>
  </si>
  <si>
    <t xml:space="preserve"> Kinh phí tổ chức Hội thi Bí thư chi bộ giỏi và tổ chức Tọa đàm về công tác đảng viên</t>
  </si>
  <si>
    <t>Ủy ban Kiểm tra</t>
  </si>
  <si>
    <t>Giám sát chuyên đề thực hiện NQ ĐH Đảng bộ các cấp</t>
  </si>
  <si>
    <t>Kinh phí tổ chức Hội thi Bí thư chi bộ giỏi và tổ chức Tọa đàm về công tác đảng viên</t>
  </si>
  <si>
    <t>Ước thực hiện nợ đọng XDCB đến ngày 30/6/2023</t>
  </si>
  <si>
    <t>Kinh phí hỗ trợ Đại hội Hội truyền thống Trường Sơn Đường Hồ Chí Minh</t>
  </si>
  <si>
    <t>Kinh phí hỗ trợ Đại hội Hội thành cổ Quảng trị</t>
  </si>
  <si>
    <t>Kinh phí hỗ trợ Hoạt động phối hợp Hội sinh vật cảnh</t>
  </si>
  <si>
    <t>Hội Cựu giáo chức huyện</t>
  </si>
  <si>
    <t>Kinh phí hỗ trợ Hoạt động phối hợp Hội Cựu giáo chức huyện</t>
  </si>
  <si>
    <t>Bổ sung vốn vay các đối tượng chính sách CN ngân hàng CSXH huyện</t>
  </si>
  <si>
    <t>Kinh phí Đề án số 05-ĐA/HU ngày 29/3/2023 về nâng cao chất lượng, hiệu quả hoạt động của UBKT Đảng ủy cơ sở giai đoạn 2023-2025</t>
  </si>
  <si>
    <t>Kinh phí thực hiện Đề án số 09-ĐA/HNDT ngày 15/4/2023 "Hội Nông dân các cấp là nòng cốt trong tổ chức sản xuất nông nghiệp…"</t>
  </si>
  <si>
    <t xml:space="preserve">Bổ sung Quỹ hỗ trợ Hội nông dân huyện </t>
  </si>
  <si>
    <t>CHI TIẾT DỰ PHÒNG NGÂN SÁCH HUYỆN 6 THÁNG ĐẦU NĂM 2023</t>
  </si>
  <si>
    <t>Nợ đọng XDCB đến 30/5/2023</t>
  </si>
  <si>
    <t>(Kèm theo Báo cáo số             /BC-UBND ngày      /   7  /2023 của UBND huyện)</t>
  </si>
  <si>
    <t>(Kèm theo Báo cáo số             /BC-UBND ngày      /7   /2023 của UBND huyện)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</si>
</sst>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&quot;?&quot;&quot;?&quot;_);_(@_)"/>
    <numFmt numFmtId="166" formatCode="_(* #,##0_);_(* \(#,##0\);_(* &quot;-&quot;&quot;?&quot;&quot;?&quot;_);_(@_)"/>
    <numFmt numFmtId="167" formatCode="_(* #,##0.0_);_(* \(#,##0.0\);_(* &quot;-&quot;??_);_(@_)"/>
    <numFmt numFmtId="168" formatCode="_-* #,##0\ _₫_-;\-* #,##0\ _₫_-;_-* &quot;-&quot;??\ _₫_-;_-@_-"/>
    <numFmt numFmtId="169" formatCode="_-* #,##0.00&quot; &quot;_₫_-;\-* #,##0.00&quot; &quot;_₫_-;_-* &quot;-&quot;??&quot; &quot;_₫_-;_-@_-"/>
    <numFmt numFmtId="170" formatCode="#,##0.0"/>
    <numFmt numFmtId="171" formatCode="0.0"/>
  </numFmts>
  <fonts count="48">
    <font>
      <sz val="14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i/>
      <sz val="13"/>
      <name val="Times New Roman"/>
      <family val="1"/>
    </font>
    <font>
      <sz val="13"/>
      <color rgb="FFFF0000"/>
      <name val="Times New Roman"/>
      <family val="1"/>
    </font>
    <font>
      <i/>
      <sz val="13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  <scheme val="minor"/>
    </font>
    <font>
      <i/>
      <sz val="13"/>
      <name val="Times New Roman"/>
      <family val="1"/>
      <charset val="163"/>
    </font>
    <font>
      <b/>
      <i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name val=".VnTime"/>
      <family val="2"/>
    </font>
    <font>
      <i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6" fillId="0" borderId="0"/>
    <xf numFmtId="169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7" fillId="0" borderId="0"/>
    <xf numFmtId="0" fontId="38" fillId="0" borderId="0"/>
    <xf numFmtId="0" fontId="39" fillId="0" borderId="0"/>
    <xf numFmtId="0" fontId="37" fillId="0" borderId="0"/>
    <xf numFmtId="0" fontId="26" fillId="0" borderId="0"/>
    <xf numFmtId="0" fontId="43" fillId="0" borderId="0"/>
  </cellStyleXfs>
  <cellXfs count="302">
    <xf numFmtId="0" fontId="0" fillId="0" borderId="0" xfId="0"/>
    <xf numFmtId="0" fontId="3" fillId="0" borderId="0" xfId="2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2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3" fillId="0" borderId="1" xfId="1" quotePrefix="1" applyNumberFormat="1" applyFont="1" applyFill="1" applyBorder="1" applyAlignment="1">
      <alignment vertical="center" wrapText="1"/>
    </xf>
    <xf numFmtId="0" fontId="3" fillId="0" borderId="1" xfId="2" quotePrefix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1" xfId="2" quotePrefix="1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vertical="center" wrapText="1"/>
    </xf>
    <xf numFmtId="166" fontId="5" fillId="0" borderId="1" xfId="3" applyNumberFormat="1" applyFont="1" applyFill="1" applyBorder="1" applyAlignment="1">
      <alignment vertical="center" wrapText="1"/>
    </xf>
    <xf numFmtId="0" fontId="6" fillId="0" borderId="0" xfId="2" applyFont="1" applyFill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6" fontId="6" fillId="0" borderId="1" xfId="3" applyNumberFormat="1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vertical="center" wrapText="1"/>
    </xf>
    <xf numFmtId="0" fontId="7" fillId="0" borderId="0" xfId="2" applyFont="1" applyFill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vertical="center" wrapText="1"/>
    </xf>
    <xf numFmtId="164" fontId="12" fillId="0" borderId="0" xfId="1" applyNumberFormat="1" applyFont="1" applyFill="1" applyAlignment="1">
      <alignment vertical="center" wrapText="1"/>
    </xf>
    <xf numFmtId="0" fontId="12" fillId="0" borderId="0" xfId="2" applyFont="1" applyFill="1" applyAlignment="1">
      <alignment horizontal="center" vertical="center" wrapText="1"/>
    </xf>
    <xf numFmtId="0" fontId="12" fillId="0" borderId="5" xfId="2" applyFont="1" applyFill="1" applyBorder="1" applyAlignment="1">
      <alignment vertical="center" wrapText="1"/>
    </xf>
    <xf numFmtId="164" fontId="12" fillId="0" borderId="5" xfId="1" applyNumberFormat="1" applyFont="1" applyFill="1" applyBorder="1" applyAlignment="1">
      <alignment vertical="center" wrapText="1"/>
    </xf>
    <xf numFmtId="0" fontId="12" fillId="0" borderId="5" xfId="2" quotePrefix="1" applyFont="1" applyFill="1" applyBorder="1" applyAlignment="1">
      <alignment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vertical="center" wrapText="1"/>
    </xf>
    <xf numFmtId="164" fontId="12" fillId="0" borderId="6" xfId="1" applyNumberFormat="1" applyFont="1" applyFill="1" applyBorder="1" applyAlignment="1">
      <alignment vertical="center" wrapText="1"/>
    </xf>
    <xf numFmtId="0" fontId="12" fillId="0" borderId="6" xfId="2" quotePrefix="1" applyFont="1" applyFill="1" applyBorder="1" applyAlignment="1">
      <alignment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vertical="center" wrapText="1"/>
    </xf>
    <xf numFmtId="164" fontId="12" fillId="0" borderId="7" xfId="1" applyNumberFormat="1" applyFont="1" applyFill="1" applyBorder="1" applyAlignment="1">
      <alignment vertical="center" wrapText="1"/>
    </xf>
    <xf numFmtId="0" fontId="2" fillId="0" borderId="7" xfId="2" quotePrefix="1" applyFont="1" applyFill="1" applyBorder="1" applyAlignment="1">
      <alignment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13" fillId="0" borderId="0" xfId="2" applyFont="1" applyFill="1" applyAlignment="1">
      <alignment vertical="center" wrapText="1"/>
    </xf>
    <xf numFmtId="0" fontId="13" fillId="0" borderId="6" xfId="2" applyFont="1" applyFill="1" applyBorder="1" applyAlignment="1">
      <alignment vertical="center" wrapText="1"/>
    </xf>
    <xf numFmtId="0" fontId="14" fillId="0" borderId="6" xfId="2" applyFont="1" applyFill="1" applyBorder="1" applyAlignment="1">
      <alignment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5" fillId="0" borderId="0" xfId="2" applyFont="1" applyFill="1" applyAlignment="1">
      <alignment vertical="center" wrapText="1"/>
    </xf>
    <xf numFmtId="0" fontId="15" fillId="0" borderId="6" xfId="2" applyFont="1" applyFill="1" applyBorder="1" applyAlignment="1">
      <alignment vertical="center" wrapText="1"/>
    </xf>
    <xf numFmtId="164" fontId="15" fillId="0" borderId="6" xfId="1" applyNumberFormat="1" applyFont="1" applyFill="1" applyBorder="1" applyAlignment="1">
      <alignment vertical="center" wrapText="1"/>
    </xf>
    <xf numFmtId="0" fontId="16" fillId="0" borderId="6" xfId="2" applyFont="1" applyFill="1" applyBorder="1" applyAlignment="1">
      <alignment vertical="center" wrapText="1"/>
    </xf>
    <xf numFmtId="0" fontId="16" fillId="0" borderId="6" xfId="2" applyFont="1" applyFill="1" applyBorder="1" applyAlignment="1">
      <alignment horizontal="center" vertical="center" wrapText="1"/>
    </xf>
    <xf numFmtId="164" fontId="15" fillId="0" borderId="8" xfId="2" applyNumberFormat="1" applyFont="1" applyFill="1" applyBorder="1" applyAlignment="1">
      <alignment vertical="center" wrapText="1"/>
    </xf>
    <xf numFmtId="164" fontId="15" fillId="0" borderId="8" xfId="1" applyNumberFormat="1" applyFont="1" applyFill="1" applyBorder="1" applyAlignment="1">
      <alignment vertical="center" wrapText="1"/>
    </xf>
    <xf numFmtId="0" fontId="16" fillId="0" borderId="8" xfId="2" applyFont="1" applyFill="1" applyBorder="1" applyAlignment="1">
      <alignment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right" vertical="center" wrapText="1"/>
    </xf>
    <xf numFmtId="164" fontId="13" fillId="0" borderId="4" xfId="1" applyNumberFormat="1" applyFont="1" applyFill="1" applyBorder="1" applyAlignment="1">
      <alignment vertical="center" wrapText="1"/>
    </xf>
    <xf numFmtId="0" fontId="9" fillId="0" borderId="0" xfId="2" applyFont="1" applyFill="1" applyAlignment="1">
      <alignment vertical="center" wrapText="1"/>
    </xf>
    <xf numFmtId="164" fontId="9" fillId="0" borderId="0" xfId="1" applyNumberFormat="1" applyFont="1" applyFill="1" applyAlignment="1">
      <alignment vertical="center" wrapText="1"/>
    </xf>
    <xf numFmtId="0" fontId="9" fillId="0" borderId="0" xfId="2" applyFont="1" applyFill="1" applyAlignment="1">
      <alignment horizontal="center" vertical="center" wrapText="1"/>
    </xf>
    <xf numFmtId="164" fontId="9" fillId="0" borderId="1" xfId="1" applyNumberFormat="1" applyFont="1" applyFill="1" applyBorder="1" applyAlignment="1">
      <alignment vertical="center" wrapText="1"/>
    </xf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2" applyFont="1" applyFill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20" fillId="0" borderId="0" xfId="2" applyFont="1" applyFill="1" applyAlignment="1">
      <alignment vertical="center" wrapText="1"/>
    </xf>
    <xf numFmtId="164" fontId="21" fillId="0" borderId="0" xfId="2" applyNumberFormat="1" applyFont="1" applyFill="1" applyAlignment="1">
      <alignment vertical="center" wrapText="1"/>
    </xf>
    <xf numFmtId="164" fontId="10" fillId="0" borderId="0" xfId="1" applyNumberFormat="1" applyFont="1" applyFill="1" applyAlignment="1">
      <alignment vertical="center" wrapText="1"/>
    </xf>
    <xf numFmtId="0" fontId="21" fillId="0" borderId="0" xfId="2" applyFont="1" applyFill="1" applyAlignment="1">
      <alignment vertical="center" wrapText="1"/>
    </xf>
    <xf numFmtId="0" fontId="21" fillId="0" borderId="0" xfId="2" applyFont="1" applyFill="1" applyAlignment="1">
      <alignment horizontal="center" vertical="center" wrapText="1"/>
    </xf>
    <xf numFmtId="0" fontId="22" fillId="0" borderId="0" xfId="2" applyFont="1" applyFill="1" applyAlignment="1">
      <alignment vertical="center" wrapText="1"/>
    </xf>
    <xf numFmtId="0" fontId="23" fillId="0" borderId="0" xfId="2" applyFont="1" applyFill="1" applyAlignment="1">
      <alignment vertical="center" wrapText="1"/>
    </xf>
    <xf numFmtId="164" fontId="7" fillId="0" borderId="1" xfId="1" applyNumberFormat="1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6" fillId="0" borderId="1" xfId="2" quotePrefix="1" applyFont="1" applyFill="1" applyBorder="1" applyAlignment="1">
      <alignment vertical="center" wrapText="1"/>
    </xf>
    <xf numFmtId="164" fontId="6" fillId="0" borderId="1" xfId="1" quotePrefix="1" applyNumberFormat="1" applyFont="1" applyFill="1" applyBorder="1" applyAlignment="1">
      <alignment vertical="center" wrapText="1"/>
    </xf>
    <xf numFmtId="167" fontId="6" fillId="0" borderId="1" xfId="1" applyNumberFormat="1" applyFont="1" applyFill="1" applyBorder="1" applyAlignment="1">
      <alignment vertical="center" wrapText="1"/>
    </xf>
    <xf numFmtId="167" fontId="5" fillId="0" borderId="1" xfId="1" applyNumberFormat="1" applyFont="1" applyFill="1" applyBorder="1" applyAlignment="1">
      <alignment vertical="center" wrapText="1"/>
    </xf>
    <xf numFmtId="167" fontId="7" fillId="0" borderId="1" xfId="1" applyNumberFormat="1" applyFont="1" applyFill="1" applyBorder="1" applyAlignment="1">
      <alignment vertical="center" wrapText="1"/>
    </xf>
    <xf numFmtId="164" fontId="5" fillId="0" borderId="1" xfId="1" quotePrefix="1" applyNumberFormat="1" applyFont="1" applyFill="1" applyBorder="1" applyAlignment="1">
      <alignment vertical="center" wrapText="1"/>
    </xf>
    <xf numFmtId="167" fontId="5" fillId="0" borderId="1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64" fontId="9" fillId="0" borderId="1" xfId="1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3" fillId="0" borderId="0" xfId="1" applyNumberFormat="1" applyFont="1" applyFill="1" applyAlignment="1">
      <alignment vertical="center" wrapText="1"/>
    </xf>
    <xf numFmtId="164" fontId="22" fillId="0" borderId="0" xfId="1" applyNumberFormat="1" applyFont="1" applyFill="1" applyAlignment="1">
      <alignment vertical="center" wrapText="1"/>
    </xf>
    <xf numFmtId="164" fontId="20" fillId="0" borderId="0" xfId="1" applyNumberFormat="1" applyFont="1" applyFill="1" applyAlignment="1">
      <alignment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10" fillId="0" borderId="3" xfId="1" applyNumberFormat="1" applyFont="1" applyFill="1" applyBorder="1" applyAlignment="1">
      <alignment vertical="center" wrapText="1"/>
    </xf>
    <xf numFmtId="167" fontId="10" fillId="0" borderId="1" xfId="1" applyNumberFormat="1" applyFont="1" applyFill="1" applyBorder="1" applyAlignment="1">
      <alignment vertical="center" wrapText="1"/>
    </xf>
    <xf numFmtId="167" fontId="9" fillId="0" borderId="1" xfId="1" applyNumberFormat="1" applyFont="1" applyFill="1" applyBorder="1" applyAlignment="1">
      <alignment vertical="center" wrapText="1"/>
    </xf>
    <xf numFmtId="164" fontId="9" fillId="0" borderId="3" xfId="1" applyNumberFormat="1" applyFont="1" applyFill="1" applyBorder="1" applyAlignment="1">
      <alignment vertical="center" wrapText="1"/>
    </xf>
    <xf numFmtId="164" fontId="10" fillId="0" borderId="0" xfId="2" applyNumberFormat="1" applyFont="1" applyFill="1" applyAlignment="1">
      <alignment vertical="center" wrapText="1"/>
    </xf>
    <xf numFmtId="164" fontId="25" fillId="0" borderId="0" xfId="1" applyNumberFormat="1" applyFont="1" applyFill="1" applyAlignment="1">
      <alignment vertical="center" wrapText="1"/>
    </xf>
    <xf numFmtId="0" fontId="27" fillId="0" borderId="0" xfId="5" applyFont="1" applyFill="1" applyAlignment="1">
      <alignment vertical="center"/>
    </xf>
    <xf numFmtId="168" fontId="27" fillId="0" borderId="0" xfId="5" applyNumberFormat="1" applyFont="1" applyFill="1" applyAlignment="1">
      <alignment vertical="center"/>
    </xf>
    <xf numFmtId="168" fontId="28" fillId="0" borderId="1" xfId="6" applyNumberFormat="1" applyFont="1" applyFill="1" applyBorder="1" applyAlignment="1">
      <alignment vertical="center"/>
    </xf>
    <xf numFmtId="168" fontId="2" fillId="0" borderId="1" xfId="6" applyNumberFormat="1" applyFont="1" applyFill="1" applyBorder="1" applyAlignment="1">
      <alignment vertical="center"/>
    </xf>
    <xf numFmtId="168" fontId="2" fillId="0" borderId="1" xfId="6" applyNumberFormat="1" applyFont="1" applyFill="1" applyBorder="1" applyAlignment="1">
      <alignment horizontal="right" vertical="center" wrapText="1"/>
    </xf>
    <xf numFmtId="168" fontId="27" fillId="0" borderId="1" xfId="6" applyNumberFormat="1" applyFont="1" applyFill="1" applyBorder="1" applyAlignment="1">
      <alignment vertical="center"/>
    </xf>
    <xf numFmtId="0" fontId="27" fillId="0" borderId="1" xfId="5" applyFont="1" applyFill="1" applyBorder="1" applyAlignment="1">
      <alignment vertical="center" wrapText="1"/>
    </xf>
    <xf numFmtId="0" fontId="27" fillId="0" borderId="1" xfId="5" applyFont="1" applyFill="1" applyBorder="1" applyAlignment="1">
      <alignment vertical="center"/>
    </xf>
    <xf numFmtId="0" fontId="29" fillId="0" borderId="0" xfId="5" applyFont="1" applyFill="1" applyAlignment="1">
      <alignment vertical="center"/>
    </xf>
    <xf numFmtId="168" fontId="28" fillId="0" borderId="1" xfId="6" applyNumberFormat="1" applyFont="1" applyFill="1" applyBorder="1" applyAlignment="1">
      <alignment horizontal="right" vertical="center" wrapText="1"/>
    </xf>
    <xf numFmtId="0" fontId="28" fillId="0" borderId="1" xfId="5" applyFont="1" applyFill="1" applyBorder="1" applyAlignment="1">
      <alignment vertical="center" wrapText="1"/>
    </xf>
    <xf numFmtId="0" fontId="28" fillId="0" borderId="1" xfId="5" applyFont="1" applyFill="1" applyBorder="1" applyAlignment="1">
      <alignment horizontal="center" vertical="center"/>
    </xf>
    <xf numFmtId="168" fontId="16" fillId="0" borderId="1" xfId="6" applyNumberFormat="1" applyFont="1" applyFill="1" applyBorder="1" applyAlignment="1">
      <alignment horizontal="right" vertical="center" wrapText="1"/>
    </xf>
    <xf numFmtId="3" fontId="30" fillId="0" borderId="1" xfId="5" applyNumberFormat="1" applyFont="1" applyFill="1" applyBorder="1" applyAlignment="1">
      <alignment vertical="center" wrapText="1"/>
    </xf>
    <xf numFmtId="0" fontId="31" fillId="0" borderId="1" xfId="5" applyFont="1" applyFill="1" applyBorder="1" applyAlignment="1">
      <alignment horizontal="center" vertical="center"/>
    </xf>
    <xf numFmtId="3" fontId="32" fillId="0" borderId="1" xfId="5" applyNumberFormat="1" applyFont="1" applyFill="1" applyBorder="1" applyAlignment="1">
      <alignment vertical="center" wrapText="1"/>
    </xf>
    <xf numFmtId="168" fontId="28" fillId="0" borderId="1" xfId="6" applyNumberFormat="1" applyFont="1" applyFill="1" applyBorder="1" applyAlignment="1">
      <alignment vertical="center" wrapText="1"/>
    </xf>
    <xf numFmtId="0" fontId="28" fillId="0" borderId="1" xfId="5" applyFont="1" applyFill="1" applyBorder="1" applyAlignment="1">
      <alignment horizontal="justify" vertical="center" wrapText="1"/>
    </xf>
    <xf numFmtId="0" fontId="33" fillId="0" borderId="0" xfId="5" applyFont="1" applyFill="1" applyAlignment="1">
      <alignment vertical="center"/>
    </xf>
    <xf numFmtId="168" fontId="16" fillId="0" borderId="1" xfId="6" applyNumberFormat="1" applyFont="1" applyFill="1" applyBorder="1" applyAlignment="1">
      <alignment vertical="center" wrapText="1"/>
    </xf>
    <xf numFmtId="168" fontId="16" fillId="2" borderId="1" xfId="6" applyNumberFormat="1" applyFont="1" applyFill="1" applyBorder="1" applyAlignment="1">
      <alignment vertical="center" wrapText="1"/>
    </xf>
    <xf numFmtId="0" fontId="16" fillId="0" borderId="1" xfId="5" applyFont="1" applyFill="1" applyBorder="1" applyAlignment="1">
      <alignment vertical="center" wrapText="1"/>
    </xf>
    <xf numFmtId="0" fontId="16" fillId="0" borderId="1" xfId="5" applyFont="1" applyFill="1" applyBorder="1" applyAlignment="1">
      <alignment horizontal="center" vertical="center"/>
    </xf>
    <xf numFmtId="168" fontId="14" fillId="0" borderId="1" xfId="6" applyNumberFormat="1" applyFont="1" applyFill="1" applyBorder="1" applyAlignment="1">
      <alignment horizontal="right" vertical="center" wrapText="1"/>
    </xf>
    <xf numFmtId="0" fontId="34" fillId="0" borderId="0" xfId="5" applyFont="1" applyFill="1" applyAlignment="1">
      <alignment vertical="center"/>
    </xf>
    <xf numFmtId="168" fontId="21" fillId="0" borderId="1" xfId="6" applyNumberFormat="1" applyFont="1" applyFill="1" applyBorder="1" applyAlignment="1">
      <alignment horizontal="right" vertical="center" wrapText="1"/>
    </xf>
    <xf numFmtId="0" fontId="21" fillId="0" borderId="1" xfId="5" applyFont="1" applyFill="1" applyBorder="1" applyAlignment="1">
      <alignment vertical="center" wrapText="1"/>
    </xf>
    <xf numFmtId="0" fontId="21" fillId="0" borderId="1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vertical="center" wrapText="1"/>
    </xf>
    <xf numFmtId="0" fontId="2" fillId="0" borderId="1" xfId="5" applyFont="1" applyFill="1" applyBorder="1" applyAlignment="1">
      <alignment horizontal="center" vertical="center"/>
    </xf>
    <xf numFmtId="0" fontId="17" fillId="0" borderId="0" xfId="5" applyFont="1" applyFill="1" applyAlignment="1">
      <alignment vertical="center"/>
    </xf>
    <xf numFmtId="168" fontId="16" fillId="2" borderId="1" xfId="6" applyNumberFormat="1" applyFont="1" applyFill="1" applyBorder="1" applyAlignment="1">
      <alignment horizontal="right" vertical="center" wrapText="1"/>
    </xf>
    <xf numFmtId="168" fontId="2" fillId="0" borderId="1" xfId="6" applyNumberFormat="1" applyFont="1" applyFill="1" applyBorder="1" applyAlignment="1">
      <alignment vertical="center" wrapText="1"/>
    </xf>
    <xf numFmtId="0" fontId="2" fillId="0" borderId="1" xfId="5" applyFont="1" applyFill="1" applyBorder="1" applyAlignment="1">
      <alignment horizontal="justify" vertical="center" wrapText="1"/>
    </xf>
    <xf numFmtId="0" fontId="27" fillId="0" borderId="1" xfId="5" applyFont="1" applyFill="1" applyBorder="1" applyAlignment="1">
      <alignment horizontal="center" vertical="center"/>
    </xf>
    <xf numFmtId="168" fontId="16" fillId="0" borderId="1" xfId="6" applyNumberFormat="1" applyFont="1" applyFill="1" applyBorder="1" applyAlignment="1">
      <alignment vertical="center"/>
    </xf>
    <xf numFmtId="168" fontId="16" fillId="2" borderId="1" xfId="6" applyNumberFormat="1" applyFont="1" applyFill="1" applyBorder="1" applyAlignment="1">
      <alignment vertical="center"/>
    </xf>
    <xf numFmtId="0" fontId="16" fillId="0" borderId="1" xfId="5" applyFont="1" applyFill="1" applyBorder="1" applyAlignment="1">
      <alignment vertical="center"/>
    </xf>
    <xf numFmtId="168" fontId="14" fillId="0" borderId="1" xfId="6" applyNumberFormat="1" applyFont="1" applyFill="1" applyBorder="1" applyAlignment="1">
      <alignment vertical="center" wrapText="1"/>
    </xf>
    <xf numFmtId="168" fontId="14" fillId="0" borderId="1" xfId="6" applyNumberFormat="1" applyFont="1" applyFill="1" applyBorder="1" applyAlignment="1">
      <alignment vertical="center"/>
    </xf>
    <xf numFmtId="0" fontId="2" fillId="0" borderId="1" xfId="5" applyNumberFormat="1" applyFont="1" applyFill="1" applyBorder="1" applyAlignment="1">
      <alignment horizontal="left" vertical="center" wrapText="1"/>
    </xf>
    <xf numFmtId="0" fontId="16" fillId="0" borderId="1" xfId="5" applyNumberFormat="1" applyFont="1" applyFill="1" applyBorder="1" applyAlignment="1">
      <alignment horizontal="left" vertical="center" wrapText="1"/>
    </xf>
    <xf numFmtId="0" fontId="27" fillId="2" borderId="0" xfId="5" applyFont="1" applyFill="1" applyAlignment="1">
      <alignment vertical="center"/>
    </xf>
    <xf numFmtId="0" fontId="2" fillId="0" borderId="1" xfId="7" applyFont="1" applyFill="1" applyBorder="1" applyAlignment="1">
      <alignment horizontal="justify" vertical="center" wrapText="1"/>
    </xf>
    <xf numFmtId="0" fontId="33" fillId="2" borderId="0" xfId="5" applyFont="1" applyFill="1" applyAlignment="1">
      <alignment vertical="center"/>
    </xf>
    <xf numFmtId="0" fontId="28" fillId="0" borderId="1" xfId="7" applyFont="1" applyFill="1" applyBorder="1" applyAlignment="1">
      <alignment horizontal="justify" vertical="center" wrapText="1"/>
    </xf>
    <xf numFmtId="0" fontId="14" fillId="0" borderId="1" xfId="5" applyFont="1" applyFill="1" applyBorder="1" applyAlignment="1">
      <alignment horizontal="center" vertical="center"/>
    </xf>
    <xf numFmtId="0" fontId="29" fillId="2" borderId="0" xfId="5" applyFont="1" applyFill="1" applyAlignment="1">
      <alignment vertical="center"/>
    </xf>
    <xf numFmtId="0" fontId="2" fillId="0" borderId="1" xfId="8" applyFont="1" applyFill="1" applyBorder="1" applyAlignment="1">
      <alignment horizontal="justify" vertical="center"/>
    </xf>
    <xf numFmtId="0" fontId="2" fillId="0" borderId="1" xfId="9" applyFont="1" applyFill="1" applyBorder="1" applyAlignment="1">
      <alignment horizontal="justify" vertical="center" wrapText="1"/>
    </xf>
    <xf numFmtId="0" fontId="35" fillId="0" borderId="0" xfId="5" applyFont="1" applyFill="1" applyAlignment="1">
      <alignment vertical="center"/>
    </xf>
    <xf numFmtId="0" fontId="35" fillId="2" borderId="0" xfId="5" applyFont="1" applyFill="1" applyAlignment="1">
      <alignment vertical="center"/>
    </xf>
    <xf numFmtId="168" fontId="21" fillId="0" borderId="1" xfId="6" applyNumberFormat="1" applyFont="1" applyFill="1" applyBorder="1" applyAlignment="1">
      <alignment vertical="center"/>
    </xf>
    <xf numFmtId="168" fontId="36" fillId="0" borderId="1" xfId="6" applyNumberFormat="1" applyFont="1" applyFill="1" applyBorder="1" applyAlignment="1">
      <alignment vertical="center"/>
    </xf>
    <xf numFmtId="168" fontId="36" fillId="0" borderId="1" xfId="6" applyNumberFormat="1" applyFont="1" applyFill="1" applyBorder="1" applyAlignment="1">
      <alignment vertical="center" wrapText="1"/>
    </xf>
    <xf numFmtId="168" fontId="21" fillId="0" borderId="1" xfId="6" applyNumberFormat="1" applyFont="1" applyFill="1" applyBorder="1" applyAlignment="1">
      <alignment vertical="center" wrapText="1"/>
    </xf>
    <xf numFmtId="0" fontId="21" fillId="0" borderId="1" xfId="5" applyFont="1" applyFill="1" applyBorder="1" applyAlignment="1">
      <alignment horizontal="left" vertical="center" wrapText="1"/>
    </xf>
    <xf numFmtId="0" fontId="34" fillId="2" borderId="0" xfId="5" applyFont="1" applyFill="1" applyAlignment="1">
      <alignment vertical="center"/>
    </xf>
    <xf numFmtId="0" fontId="21" fillId="0" borderId="1" xfId="10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vertical="center" wrapText="1"/>
    </xf>
    <xf numFmtId="0" fontId="14" fillId="0" borderId="1" xfId="12" applyFont="1" applyFill="1" applyBorder="1" applyAlignment="1">
      <alignment horizontal="center" vertical="center"/>
    </xf>
    <xf numFmtId="0" fontId="28" fillId="0" borderId="1" xfId="12" applyFont="1" applyFill="1" applyBorder="1" applyAlignment="1">
      <alignment horizontal="center" vertical="center"/>
    </xf>
    <xf numFmtId="0" fontId="27" fillId="0" borderId="1" xfId="12" applyFont="1" applyFill="1" applyBorder="1" applyAlignment="1">
      <alignment horizontal="center" vertical="center"/>
    </xf>
    <xf numFmtId="0" fontId="2" fillId="0" borderId="1" xfId="12" applyFont="1" applyFill="1" applyBorder="1" applyAlignment="1">
      <alignment vertical="center" wrapText="1"/>
    </xf>
    <xf numFmtId="0" fontId="40" fillId="0" borderId="0" xfId="5" applyFont="1" applyFill="1" applyAlignment="1">
      <alignment vertical="center"/>
    </xf>
    <xf numFmtId="168" fontId="2" fillId="0" borderId="1" xfId="6" applyNumberFormat="1" applyFont="1" applyFill="1" applyBorder="1" applyAlignment="1">
      <alignment horizontal="center" vertical="center" wrapText="1"/>
    </xf>
    <xf numFmtId="168" fontId="28" fillId="0" borderId="1" xfId="6" applyNumberFormat="1" applyFont="1" applyFill="1" applyBorder="1" applyAlignment="1">
      <alignment horizontal="center" vertical="center" wrapText="1"/>
    </xf>
    <xf numFmtId="169" fontId="30" fillId="0" borderId="1" xfId="6" applyFont="1" applyFill="1" applyBorder="1" applyAlignment="1">
      <alignment vertical="center"/>
    </xf>
    <xf numFmtId="168" fontId="30" fillId="0" borderId="1" xfId="6" applyNumberFormat="1" applyFont="1" applyFill="1" applyBorder="1" applyAlignment="1">
      <alignment vertical="center" wrapText="1"/>
    </xf>
    <xf numFmtId="168" fontId="30" fillId="0" borderId="1" xfId="6" applyNumberFormat="1" applyFont="1" applyFill="1" applyBorder="1" applyAlignment="1">
      <alignment horizontal="right" vertical="center" wrapText="1"/>
    </xf>
    <xf numFmtId="169" fontId="30" fillId="0" borderId="1" xfId="6" applyFont="1" applyFill="1" applyBorder="1" applyAlignment="1">
      <alignment vertical="center" wrapText="1"/>
    </xf>
    <xf numFmtId="3" fontId="30" fillId="0" borderId="1" xfId="5" applyNumberFormat="1" applyFont="1" applyFill="1" applyBorder="1" applyAlignment="1">
      <alignment vertical="center"/>
    </xf>
    <xf numFmtId="0" fontId="2" fillId="0" borderId="1" xfId="5" applyFont="1" applyFill="1" applyBorder="1" applyAlignment="1">
      <alignment horizontal="left" vertical="top" wrapText="1"/>
    </xf>
    <xf numFmtId="168" fontId="20" fillId="0" borderId="1" xfId="6" applyNumberFormat="1" applyFont="1" applyFill="1" applyBorder="1" applyAlignment="1">
      <alignment vertical="center" wrapText="1"/>
    </xf>
    <xf numFmtId="168" fontId="41" fillId="0" borderId="1" xfId="6" applyNumberFormat="1" applyFont="1" applyFill="1" applyBorder="1" applyAlignment="1">
      <alignment vertical="center"/>
    </xf>
    <xf numFmtId="0" fontId="40" fillId="2" borderId="0" xfId="5" applyFont="1" applyFill="1" applyAlignment="1">
      <alignment vertical="center"/>
    </xf>
    <xf numFmtId="0" fontId="2" fillId="0" borderId="1" xfId="10" applyFont="1" applyFill="1" applyBorder="1" applyAlignment="1">
      <alignment vertical="center" wrapText="1"/>
    </xf>
    <xf numFmtId="0" fontId="14" fillId="2" borderId="0" xfId="5" applyFont="1" applyFill="1" applyAlignment="1">
      <alignment vertical="center"/>
    </xf>
    <xf numFmtId="0" fontId="42" fillId="0" borderId="0" xfId="5" applyFont="1" applyFill="1" applyAlignment="1">
      <alignment vertical="center"/>
    </xf>
    <xf numFmtId="0" fontId="2" fillId="0" borderId="1" xfId="13" applyFont="1" applyFill="1" applyBorder="1" applyAlignment="1">
      <alignment horizontal="left" vertical="center" wrapText="1"/>
    </xf>
    <xf numFmtId="168" fontId="14" fillId="0" borderId="1" xfId="6" applyNumberFormat="1" applyFont="1" applyFill="1" applyBorder="1" applyAlignment="1">
      <alignment horizontal="center" vertical="center" wrapText="1"/>
    </xf>
    <xf numFmtId="1" fontId="2" fillId="0" borderId="1" xfId="14" applyNumberFormat="1" applyFont="1" applyFill="1" applyBorder="1" applyAlignment="1">
      <alignment horizontal="left" vertical="center" wrapText="1"/>
    </xf>
    <xf numFmtId="0" fontId="2" fillId="0" borderId="16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left" vertical="center" wrapText="1"/>
    </xf>
    <xf numFmtId="0" fontId="28" fillId="0" borderId="1" xfId="5" applyFont="1" applyFill="1" applyBorder="1" applyAlignment="1">
      <alignment horizontal="left" vertical="center" wrapText="1"/>
    </xf>
    <xf numFmtId="168" fontId="2" fillId="0" borderId="1" xfId="6" applyNumberFormat="1" applyFont="1" applyFill="1" applyBorder="1" applyAlignment="1">
      <alignment horizontal="right" vertical="center"/>
    </xf>
    <xf numFmtId="0" fontId="2" fillId="0" borderId="1" xfId="15" applyFont="1" applyFill="1" applyBorder="1" applyAlignment="1">
      <alignment horizontal="left" vertical="center" wrapText="1"/>
    </xf>
    <xf numFmtId="0" fontId="44" fillId="0" borderId="0" xfId="5" applyFont="1" applyFill="1" applyAlignment="1">
      <alignment vertical="center"/>
    </xf>
    <xf numFmtId="0" fontId="45" fillId="0" borderId="0" xfId="5" applyFont="1" applyFill="1" applyAlignment="1">
      <alignment vertical="center"/>
    </xf>
    <xf numFmtId="0" fontId="44" fillId="2" borderId="0" xfId="5" applyFont="1" applyFill="1" applyAlignment="1">
      <alignment vertical="center"/>
    </xf>
    <xf numFmtId="0" fontId="46" fillId="0" borderId="0" xfId="5" applyFont="1" applyFill="1" applyAlignment="1">
      <alignment vertical="center"/>
    </xf>
    <xf numFmtId="0" fontId="33" fillId="0" borderId="1" xfId="5" applyFont="1" applyFill="1" applyBorder="1" applyAlignment="1">
      <alignment vertical="center"/>
    </xf>
    <xf numFmtId="3" fontId="33" fillId="0" borderId="1" xfId="5" applyNumberFormat="1" applyFont="1" applyFill="1" applyBorder="1" applyAlignment="1">
      <alignment vertical="center" wrapText="1"/>
    </xf>
    <xf numFmtId="3" fontId="17" fillId="0" borderId="1" xfId="5" applyNumberFormat="1" applyFont="1" applyFill="1" applyBorder="1" applyAlignment="1">
      <alignment vertical="center" wrapText="1"/>
    </xf>
    <xf numFmtId="3" fontId="33" fillId="0" borderId="1" xfId="5" applyNumberFormat="1" applyFont="1" applyFill="1" applyBorder="1" applyAlignment="1">
      <alignment vertical="center"/>
    </xf>
    <xf numFmtId="0" fontId="33" fillId="0" borderId="1" xfId="5" applyFont="1" applyFill="1" applyBorder="1" applyAlignment="1">
      <alignment vertical="center" wrapText="1"/>
    </xf>
    <xf numFmtId="0" fontId="33" fillId="0" borderId="1" xfId="5" applyFont="1" applyFill="1" applyBorder="1" applyAlignment="1">
      <alignment horizontal="center" vertical="center"/>
    </xf>
    <xf numFmtId="0" fontId="40" fillId="0" borderId="1" xfId="5" applyFont="1" applyFill="1" applyBorder="1" applyAlignment="1">
      <alignment vertical="center"/>
    </xf>
    <xf numFmtId="3" fontId="40" fillId="0" borderId="1" xfId="5" applyNumberFormat="1" applyFont="1" applyFill="1" applyBorder="1" applyAlignment="1">
      <alignment vertical="center" wrapText="1"/>
    </xf>
    <xf numFmtId="3" fontId="47" fillId="0" borderId="1" xfId="5" applyNumberFormat="1" applyFont="1" applyFill="1" applyBorder="1" applyAlignment="1">
      <alignment vertical="center" wrapText="1"/>
    </xf>
    <xf numFmtId="0" fontId="40" fillId="0" borderId="1" xfId="5" applyFont="1" applyFill="1" applyBorder="1" applyAlignment="1">
      <alignment horizontal="justify" vertical="center" wrapText="1"/>
    </xf>
    <xf numFmtId="0" fontId="40" fillId="0" borderId="1" xfId="5" applyFont="1" applyFill="1" applyBorder="1" applyAlignment="1">
      <alignment horizontal="center" vertical="center"/>
    </xf>
    <xf numFmtId="170" fontId="33" fillId="0" borderId="1" xfId="5" applyNumberFormat="1" applyFont="1" applyFill="1" applyBorder="1" applyAlignment="1">
      <alignment vertical="center"/>
    </xf>
    <xf numFmtId="170" fontId="35" fillId="0" borderId="1" xfId="5" applyNumberFormat="1" applyFont="1" applyFill="1" applyBorder="1" applyAlignment="1">
      <alignment vertical="center" wrapText="1"/>
    </xf>
    <xf numFmtId="3" fontId="35" fillId="0" borderId="1" xfId="5" applyNumberFormat="1" applyFont="1" applyFill="1" applyBorder="1" applyAlignment="1">
      <alignment vertical="center" wrapText="1"/>
    </xf>
    <xf numFmtId="3" fontId="27" fillId="0" borderId="1" xfId="5" applyNumberFormat="1" applyFont="1" applyFill="1" applyBorder="1" applyAlignment="1">
      <alignment vertical="center" wrapText="1"/>
    </xf>
    <xf numFmtId="3" fontId="29" fillId="0" borderId="1" xfId="5" applyNumberFormat="1" applyFont="1" applyFill="1" applyBorder="1" applyAlignment="1">
      <alignment vertical="center" wrapText="1"/>
    </xf>
    <xf numFmtId="0" fontId="27" fillId="0" borderId="1" xfId="5" applyFont="1" applyFill="1" applyBorder="1" applyAlignment="1">
      <alignment horizontal="justify" vertical="center" wrapText="1"/>
    </xf>
    <xf numFmtId="3" fontId="33" fillId="0" borderId="1" xfId="5" applyNumberFormat="1" applyFont="1" applyFill="1" applyBorder="1" applyAlignment="1">
      <alignment horizontal="center" vertical="center" wrapText="1"/>
    </xf>
    <xf numFmtId="168" fontId="33" fillId="0" borderId="1" xfId="6" applyNumberFormat="1" applyFont="1" applyFill="1" applyBorder="1" applyAlignment="1">
      <alignment vertical="center"/>
    </xf>
    <xf numFmtId="0" fontId="47" fillId="3" borderId="1" xfId="5" applyFont="1" applyFill="1" applyBorder="1" applyAlignment="1">
      <alignment vertical="center" wrapText="1"/>
    </xf>
    <xf numFmtId="0" fontId="17" fillId="0" borderId="1" xfId="5" applyFont="1" applyFill="1" applyBorder="1" applyAlignment="1">
      <alignment vertical="center" wrapText="1"/>
    </xf>
    <xf numFmtId="0" fontId="17" fillId="0" borderId="1" xfId="5" applyFont="1" applyFill="1" applyBorder="1" applyAlignment="1">
      <alignment horizontal="center" vertical="center"/>
    </xf>
    <xf numFmtId="3" fontId="27" fillId="0" borderId="1" xfId="5" applyNumberFormat="1" applyFont="1" applyFill="1" applyBorder="1" applyAlignment="1">
      <alignment vertical="center"/>
    </xf>
    <xf numFmtId="0" fontId="17" fillId="0" borderId="1" xfId="5" applyFont="1" applyFill="1" applyBorder="1" applyAlignment="1">
      <alignment horizontal="center" vertical="center" wrapText="1"/>
    </xf>
    <xf numFmtId="0" fontId="27" fillId="0" borderId="1" xfId="5" applyFont="1" applyFill="1" applyBorder="1" applyAlignment="1">
      <alignment horizontal="center" vertical="center" wrapText="1"/>
    </xf>
    <xf numFmtId="0" fontId="33" fillId="0" borderId="0" xfId="5" applyFont="1" applyFill="1" applyBorder="1" applyAlignment="1">
      <alignment horizontal="right" vertical="center"/>
    </xf>
    <xf numFmtId="0" fontId="17" fillId="0" borderId="0" xfId="5" applyFont="1" applyFill="1" applyAlignment="1">
      <alignment horizontal="center" vertical="center"/>
    </xf>
    <xf numFmtId="171" fontId="10" fillId="0" borderId="1" xfId="2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14" fillId="0" borderId="1" xfId="5" applyNumberFormat="1" applyFont="1" applyFill="1" applyBorder="1" applyAlignment="1">
      <alignment horizontal="left" vertical="center" wrapText="1"/>
    </xf>
    <xf numFmtId="0" fontId="27" fillId="0" borderId="1" xfId="1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0" xfId="1" applyNumberFormat="1" applyFont="1" applyAlignment="1">
      <alignment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1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2" applyFont="1" applyFill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15" fillId="0" borderId="14" xfId="1" applyNumberFormat="1" applyFont="1" applyFill="1" applyBorder="1" applyAlignment="1">
      <alignment horizontal="center" vertical="center" wrapText="1"/>
    </xf>
    <xf numFmtId="164" fontId="15" fillId="0" borderId="13" xfId="1" applyNumberFormat="1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center" vertical="center" wrapText="1"/>
    </xf>
    <xf numFmtId="0" fontId="17" fillId="0" borderId="0" xfId="2" applyFont="1" applyFill="1" applyAlignment="1">
      <alignment horizontal="center" vertical="center" wrapText="1"/>
    </xf>
    <xf numFmtId="0" fontId="13" fillId="0" borderId="0" xfId="2" applyFont="1" applyFill="1" applyAlignment="1">
      <alignment horizontal="center" vertical="center" wrapText="1"/>
    </xf>
    <xf numFmtId="164" fontId="15" fillId="0" borderId="10" xfId="1" applyNumberFormat="1" applyFont="1" applyFill="1" applyBorder="1" applyAlignment="1">
      <alignment horizontal="center" vertical="center" wrapText="1"/>
    </xf>
    <xf numFmtId="164" fontId="15" fillId="0" borderId="9" xfId="1" applyNumberFormat="1" applyFont="1" applyFill="1" applyBorder="1" applyAlignment="1">
      <alignment horizontal="center" vertical="center" wrapText="1"/>
    </xf>
    <xf numFmtId="0" fontId="19" fillId="0" borderId="11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 wrapText="1"/>
    </xf>
    <xf numFmtId="164" fontId="9" fillId="0" borderId="4" xfId="1" applyNumberFormat="1" applyFont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center" vertical="center" wrapText="1"/>
    </xf>
    <xf numFmtId="0" fontId="17" fillId="0" borderId="0" xfId="5" applyFont="1" applyFill="1" applyAlignment="1">
      <alignment horizontal="center" vertical="center"/>
    </xf>
    <xf numFmtId="0" fontId="33" fillId="0" borderId="0" xfId="5" applyFont="1" applyFill="1" applyBorder="1" applyAlignment="1">
      <alignment horizontal="right" vertical="center"/>
    </xf>
    <xf numFmtId="0" fontId="17" fillId="0" borderId="1" xfId="5" applyFont="1" applyFill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 wrapText="1" shrinkToFit="1"/>
    </xf>
    <xf numFmtId="0" fontId="17" fillId="0" borderId="3" xfId="5" applyFont="1" applyFill="1" applyBorder="1" applyAlignment="1">
      <alignment horizontal="center" vertical="center" wrapText="1"/>
    </xf>
    <xf numFmtId="0" fontId="17" fillId="0" borderId="2" xfId="5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 vertical="center" wrapText="1"/>
    </xf>
    <xf numFmtId="0" fontId="19" fillId="0" borderId="11" xfId="2" applyFont="1" applyFill="1" applyBorder="1" applyAlignment="1">
      <alignment horizontal="center" vertical="center" wrapText="1"/>
    </xf>
  </cellXfs>
  <cellStyles count="16">
    <cellStyle name="Comma" xfId="1" builtinId="3"/>
    <cellStyle name="Comma 3 2" xfId="6"/>
    <cellStyle name="Comma 5" xfId="3"/>
    <cellStyle name="Normal" xfId="0" builtinId="0"/>
    <cellStyle name="Normal 11 2" xfId="5"/>
    <cellStyle name="Normal 12" xfId="9"/>
    <cellStyle name="Normal 13" xfId="8"/>
    <cellStyle name="Normal 2" xfId="2"/>
    <cellStyle name="Normal 2 10" xfId="7"/>
    <cellStyle name="Normal 2 2 2" xfId="12"/>
    <cellStyle name="Normal 2 3" xfId="11"/>
    <cellStyle name="Normal 2 8" xfId="10"/>
    <cellStyle name="Normal 3" xfId="4"/>
    <cellStyle name="Normal 3 2" xfId="15"/>
    <cellStyle name="Normal_Bieu mau (CV )" xfId="14"/>
    <cellStyle name="Normal_book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M%202023\DT%202023%20HUYEN%20GIAO\2-bieu%20giao%20du%20toan%20trinh%20phien%20hop%20ubnd%20huy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O\Documents\Zalo%20Received%20Files\TTPTQ&#2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30"/>
      <sheetName val="DT THU 2023"/>
      <sheetName val="tien dat 2023"/>
      <sheetName val="thu phí,lệ phí, khac 2023"/>
      <sheetName val="DT CHI 2023"/>
      <sheetName val="20-QLHC HUYEN"/>
      <sheetName val="Chi tiet chi hanh chinh"/>
      <sheetName val="Chi chi chi SNKT"/>
      <sheetName val="B37"/>
      <sheetName val="Chi tiết mục tiêu"/>
      <sheetName val="b39"/>
      <sheetName val="B32"/>
      <sheetName val="chi  xa"/>
      <sheetName val="MT"/>
      <sheetName val="B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D7">
            <v>10977</v>
          </cell>
          <cell r="G7">
            <v>9328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ểu 1a (XDCB"/>
      <sheetName val="Biểu 1b (NTM)"/>
      <sheetName val="Biểu 2 (KQ thẩm định)"/>
      <sheetName val="Biểu 3 (LCNT)"/>
      <sheetName val="Biểu 4 (QT)"/>
      <sheetName val="Biểu 5 (Thanh tra)"/>
      <sheetName val="Biểu 6 (Nợ đọng XDCB)"/>
    </sheetNames>
    <sheetDataSet>
      <sheetData sheetId="0">
        <row r="13">
          <cell r="B13" t="str">
            <v>Xây dựng cơ sở hạ tầng cụm dân cư Đồng Dộc, thôn Lý Cốt, xã Phúc Sơn, huyện Tân Yên</v>
          </cell>
          <cell r="D13">
            <v>6038.4</v>
          </cell>
        </row>
        <row r="14">
          <cell r="B14" t="str">
            <v>Xây dựng CSHT Cụm dân cư Cửa Lề, thôn Tân Tiến, xã Song Vân, huyện Tân Yên (GĐ2)</v>
          </cell>
          <cell r="D14">
            <v>5301</v>
          </cell>
        </row>
        <row r="17">
          <cell r="B17" t="str">
            <v>Xây dựng CSHT Cụm dân cư Cống gạch thôn Quang Lâm, xã Đại Hóa</v>
          </cell>
          <cell r="D17">
            <v>7394.5</v>
          </cell>
        </row>
        <row r="18">
          <cell r="B18" t="str">
            <v>Khu đô thị Đồng cửa đầu (chuyển mục đích từ đất TMDV)</v>
          </cell>
          <cell r="D18">
            <v>6111.3</v>
          </cell>
        </row>
      </sheetData>
      <sheetData sheetId="1"/>
      <sheetData sheetId="2"/>
      <sheetData sheetId="3">
        <row r="33">
          <cell r="C33">
            <v>1</v>
          </cell>
        </row>
      </sheetData>
      <sheetData sheetId="4">
        <row r="12">
          <cell r="B12" t="str">
            <v>Xây dựng CSHT Cụm dân cư Cửa Lề, thôn Tân Tiến, xã Song Vân, huyện Tân Yên (GĐ2)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37"/>
  <sheetViews>
    <sheetView zoomScale="85" zoomScaleNormal="85" workbookViewId="0">
      <pane xSplit="2" ySplit="6" topLeftCell="D7" activePane="bottomRight" state="frozen"/>
      <selection activeCell="D7" sqref="D7:F7"/>
      <selection pane="topRight" activeCell="D7" sqref="D7:F7"/>
      <selection pane="bottomLeft" activeCell="D7" sqref="D7:F7"/>
      <selection pane="bottomRight" activeCell="T15" sqref="T15"/>
    </sheetView>
  </sheetViews>
  <sheetFormatPr defaultRowHeight="16.5"/>
  <cols>
    <col min="1" max="1" width="5" style="3" customWidth="1"/>
    <col min="2" max="2" width="28.77734375" style="1" customWidth="1"/>
    <col min="3" max="3" width="13.109375" style="2" hidden="1" customWidth="1"/>
    <col min="4" max="4" width="12" style="2" customWidth="1"/>
    <col min="5" max="5" width="12.21875" style="2" customWidth="1"/>
    <col min="6" max="7" width="11.109375" style="2" customWidth="1"/>
    <col min="8" max="9" width="10.21875" style="2" customWidth="1"/>
    <col min="10" max="10" width="8.88671875" style="2" customWidth="1"/>
    <col min="11" max="11" width="12.109375" style="2" customWidth="1"/>
    <col min="12" max="12" width="11.77734375" style="2" customWidth="1"/>
    <col min="13" max="13" width="8.88671875" style="2" customWidth="1"/>
    <col min="14" max="14" width="9.109375" style="2" customWidth="1"/>
    <col min="15" max="15" width="8.5546875" style="2" customWidth="1"/>
    <col min="16" max="16" width="8.5546875" style="1" customWidth="1"/>
    <col min="17" max="16384" width="8.88671875" style="1"/>
  </cols>
  <sheetData>
    <row r="1" spans="1:16" ht="17.25" customHeight="1"/>
    <row r="2" spans="1:16" ht="21" customHeight="1">
      <c r="A2" s="254" t="s">
        <v>406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 ht="21" customHeight="1">
      <c r="A3" s="257" t="s">
        <v>433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6.5" customHeight="1">
      <c r="D4" s="1"/>
      <c r="F4" s="1"/>
      <c r="J4" s="1"/>
      <c r="L4" s="1"/>
      <c r="O4" s="263" t="s">
        <v>26</v>
      </c>
      <c r="P4" s="263"/>
    </row>
    <row r="5" spans="1:16" s="21" customFormat="1" ht="30.75" customHeight="1">
      <c r="A5" s="255" t="s">
        <v>25</v>
      </c>
      <c r="B5" s="255" t="s">
        <v>24</v>
      </c>
      <c r="C5" s="258" t="s">
        <v>129</v>
      </c>
      <c r="D5" s="258" t="s">
        <v>23</v>
      </c>
      <c r="E5" s="256" t="s">
        <v>22</v>
      </c>
      <c r="F5" s="256"/>
      <c r="G5" s="256"/>
      <c r="H5" s="256" t="s">
        <v>126</v>
      </c>
      <c r="I5" s="256"/>
      <c r="J5" s="256"/>
      <c r="K5" s="256" t="s">
        <v>127</v>
      </c>
      <c r="L5" s="256"/>
      <c r="M5" s="256"/>
      <c r="N5" s="260" t="s">
        <v>128</v>
      </c>
      <c r="O5" s="261"/>
      <c r="P5" s="262"/>
    </row>
    <row r="6" spans="1:16" s="21" customFormat="1" ht="54" customHeight="1">
      <c r="A6" s="255"/>
      <c r="B6" s="255"/>
      <c r="C6" s="259"/>
      <c r="D6" s="259"/>
      <c r="E6" s="22" t="s">
        <v>20</v>
      </c>
      <c r="F6" s="22" t="s">
        <v>19</v>
      </c>
      <c r="G6" s="22" t="s">
        <v>18</v>
      </c>
      <c r="H6" s="22" t="s">
        <v>20</v>
      </c>
      <c r="I6" s="22" t="s">
        <v>19</v>
      </c>
      <c r="J6" s="22" t="s">
        <v>18</v>
      </c>
      <c r="K6" s="22" t="s">
        <v>20</v>
      </c>
      <c r="L6" s="22" t="s">
        <v>19</v>
      </c>
      <c r="M6" s="22" t="s">
        <v>18</v>
      </c>
      <c r="N6" s="22" t="s">
        <v>129</v>
      </c>
      <c r="O6" s="22" t="s">
        <v>130</v>
      </c>
      <c r="P6" s="8" t="s">
        <v>131</v>
      </c>
    </row>
    <row r="7" spans="1:16" s="15" customFormat="1" ht="21" customHeight="1">
      <c r="A7" s="19"/>
      <c r="B7" s="16" t="s">
        <v>17</v>
      </c>
      <c r="C7" s="17">
        <f t="shared" ref="C7:M7" si="0">+C8+C21+C22+C23</f>
        <v>894323.51141899999</v>
      </c>
      <c r="D7" s="17">
        <f t="shared" si="0"/>
        <v>1233924</v>
      </c>
      <c r="E7" s="20">
        <f t="shared" si="0"/>
        <v>1643252.1184873646</v>
      </c>
      <c r="F7" s="20">
        <f t="shared" si="0"/>
        <v>1218244.4198899255</v>
      </c>
      <c r="G7" s="17">
        <f t="shared" si="0"/>
        <v>237726.72559743896</v>
      </c>
      <c r="H7" s="20">
        <f t="shared" si="0"/>
        <v>853439.95799999998</v>
      </c>
      <c r="I7" s="20">
        <f t="shared" si="0"/>
        <v>591758.95799999998</v>
      </c>
      <c r="J7" s="17">
        <f t="shared" si="0"/>
        <v>175382</v>
      </c>
      <c r="K7" s="20">
        <f t="shared" si="0"/>
        <v>1407169.2016309998</v>
      </c>
      <c r="L7" s="20">
        <f t="shared" si="0"/>
        <v>1129059.7543040002</v>
      </c>
      <c r="M7" s="17">
        <f t="shared" si="0"/>
        <v>187780.61532700001</v>
      </c>
      <c r="N7" s="85">
        <f t="shared" ref="N7:N27" si="1">IF(C7&gt;0,$K7/C7*100,"")</f>
        <v>157.34453848789917</v>
      </c>
      <c r="O7" s="85">
        <f t="shared" ref="O7:O27" si="2">IF(D7&gt;0,$K7/D7*100,"")</f>
        <v>114.04018413054611</v>
      </c>
      <c r="P7" s="85">
        <f t="shared" ref="P7:P27" si="3">IF(E7&gt;0,$K7/E7*100,"")</f>
        <v>85.633189563529527</v>
      </c>
    </row>
    <row r="8" spans="1:16" s="15" customFormat="1" ht="18.75">
      <c r="A8" s="19" t="s">
        <v>16</v>
      </c>
      <c r="B8" s="16" t="s">
        <v>15</v>
      </c>
      <c r="C8" s="17">
        <f t="shared" ref="C8:M8" si="4">SUMIF($A$9:$A$20,"&gt;0",C9:C20)</f>
        <v>345038.70988899999</v>
      </c>
      <c r="D8" s="17">
        <f t="shared" si="4"/>
        <v>654300</v>
      </c>
      <c r="E8" s="17">
        <f t="shared" si="4"/>
        <v>1054300.1184873646</v>
      </c>
      <c r="F8" s="17">
        <f t="shared" si="4"/>
        <v>746832.41988992563</v>
      </c>
      <c r="G8" s="17">
        <f t="shared" si="4"/>
        <v>120186.72559743896</v>
      </c>
      <c r="H8" s="17">
        <f t="shared" si="4"/>
        <v>476091</v>
      </c>
      <c r="I8" s="17">
        <f t="shared" si="4"/>
        <v>333194</v>
      </c>
      <c r="J8" s="17">
        <f t="shared" si="4"/>
        <v>56598</v>
      </c>
      <c r="K8" s="17">
        <f t="shared" si="4"/>
        <v>500679.83199999999</v>
      </c>
      <c r="L8" s="17">
        <f t="shared" si="4"/>
        <v>350039</v>
      </c>
      <c r="M8" s="17">
        <f t="shared" si="4"/>
        <v>60312</v>
      </c>
      <c r="N8" s="85">
        <f t="shared" si="1"/>
        <v>145.10830745949352</v>
      </c>
      <c r="O8" s="85">
        <f t="shared" si="2"/>
        <v>76.521447653981355</v>
      </c>
      <c r="P8" s="85">
        <f t="shared" si="3"/>
        <v>47.489308141057599</v>
      </c>
    </row>
    <row r="9" spans="1:16" s="9" customFormat="1" ht="18.75">
      <c r="A9" s="12">
        <v>1</v>
      </c>
      <c r="B9" s="10" t="s">
        <v>14</v>
      </c>
      <c r="C9" s="13">
        <v>16991</v>
      </c>
      <c r="D9" s="13">
        <v>43600</v>
      </c>
      <c r="E9" s="14">
        <v>43600</v>
      </c>
      <c r="F9" s="13">
        <v>40077</v>
      </c>
      <c r="G9" s="13">
        <v>3523</v>
      </c>
      <c r="H9" s="13">
        <f>SUM(I9:J9)</f>
        <v>21191</v>
      </c>
      <c r="I9" s="13">
        <v>19409</v>
      </c>
      <c r="J9" s="13">
        <v>1782</v>
      </c>
      <c r="K9" s="13">
        <f>SUM(L9:M9)</f>
        <v>21826</v>
      </c>
      <c r="L9" s="13">
        <f t="shared" ref="L9:M9" si="5">ROUND(I9/5*5.15,0)</f>
        <v>19991</v>
      </c>
      <c r="M9" s="13">
        <f t="shared" si="5"/>
        <v>1835</v>
      </c>
      <c r="N9" s="86">
        <f t="shared" si="1"/>
        <v>128.45624153963863</v>
      </c>
      <c r="O9" s="86">
        <f t="shared" si="2"/>
        <v>50.059633027522935</v>
      </c>
      <c r="P9" s="86">
        <f t="shared" si="3"/>
        <v>50.059633027522935</v>
      </c>
    </row>
    <row r="10" spans="1:16" s="9" customFormat="1" ht="18.75">
      <c r="A10" s="12">
        <v>2</v>
      </c>
      <c r="B10" s="10" t="s">
        <v>13</v>
      </c>
      <c r="C10" s="13">
        <v>17056</v>
      </c>
      <c r="D10" s="13">
        <v>23000</v>
      </c>
      <c r="E10" s="14">
        <v>23000.145487364633</v>
      </c>
      <c r="F10" s="13">
        <v>10798.419889925675</v>
      </c>
      <c r="G10" s="13">
        <v>11801.725597438957</v>
      </c>
      <c r="H10" s="13">
        <v>13105</v>
      </c>
      <c r="I10" s="13">
        <v>5669</v>
      </c>
      <c r="J10" s="13">
        <v>6449</v>
      </c>
      <c r="K10" s="13">
        <v>14100</v>
      </c>
      <c r="L10" s="13">
        <f t="shared" ref="L10:M10" si="6">ROUND($K$10/$H$10*I10,0)</f>
        <v>6099</v>
      </c>
      <c r="M10" s="13">
        <f t="shared" si="6"/>
        <v>6939</v>
      </c>
      <c r="N10" s="86">
        <f t="shared" si="1"/>
        <v>82.668855534709195</v>
      </c>
      <c r="O10" s="86">
        <f t="shared" si="2"/>
        <v>61.304347826086961</v>
      </c>
      <c r="P10" s="86">
        <f t="shared" si="3"/>
        <v>61.303960045583104</v>
      </c>
    </row>
    <row r="11" spans="1:16" s="9" customFormat="1" ht="18.75">
      <c r="A11" s="12">
        <v>3</v>
      </c>
      <c r="B11" s="10" t="s">
        <v>12</v>
      </c>
      <c r="C11" s="13">
        <v>24800</v>
      </c>
      <c r="D11" s="13">
        <v>52000</v>
      </c>
      <c r="E11" s="14">
        <v>52000</v>
      </c>
      <c r="F11" s="13">
        <v>47000</v>
      </c>
      <c r="G11" s="13">
        <v>5000</v>
      </c>
      <c r="H11" s="13">
        <v>22467</v>
      </c>
      <c r="I11" s="13">
        <v>18869</v>
      </c>
      <c r="J11" s="13">
        <v>3598</v>
      </c>
      <c r="K11" s="13">
        <v>26000</v>
      </c>
      <c r="L11" s="13">
        <f t="shared" ref="L11:M11" si="7">ROUND($K$11/$H$11*I11,0)</f>
        <v>21836</v>
      </c>
      <c r="M11" s="13">
        <f t="shared" si="7"/>
        <v>4164</v>
      </c>
      <c r="N11" s="86">
        <f t="shared" si="1"/>
        <v>104.83870967741935</v>
      </c>
      <c r="O11" s="86">
        <f t="shared" si="2"/>
        <v>50</v>
      </c>
      <c r="P11" s="86">
        <f t="shared" si="3"/>
        <v>50</v>
      </c>
    </row>
    <row r="12" spans="1:16" s="9" customFormat="1" ht="18.75">
      <c r="A12" s="12">
        <v>4</v>
      </c>
      <c r="B12" s="10" t="s">
        <v>11</v>
      </c>
      <c r="C12" s="13">
        <v>380</v>
      </c>
      <c r="D12" s="13">
        <v>4700</v>
      </c>
      <c r="E12" s="14">
        <v>4700</v>
      </c>
      <c r="F12" s="13"/>
      <c r="G12" s="13">
        <v>4700</v>
      </c>
      <c r="H12" s="13">
        <v>185</v>
      </c>
      <c r="I12" s="13">
        <v>0</v>
      </c>
      <c r="J12" s="13">
        <v>185</v>
      </c>
      <c r="K12" s="13">
        <f t="shared" ref="K12:K20" si="8">ROUND(H12/5*6,0)</f>
        <v>222</v>
      </c>
      <c r="L12" s="13">
        <f t="shared" ref="L12:L20" si="9">ROUND(I12/5*6,0)</f>
        <v>0</v>
      </c>
      <c r="M12" s="13">
        <f t="shared" ref="M12:M20" si="10">ROUND(J12/5*6,0)</f>
        <v>222</v>
      </c>
      <c r="N12" s="86">
        <f t="shared" si="1"/>
        <v>58.421052631578952</v>
      </c>
      <c r="O12" s="86">
        <f t="shared" si="2"/>
        <v>4.7234042553191493</v>
      </c>
      <c r="P12" s="86">
        <f t="shared" si="3"/>
        <v>4.7234042553191493</v>
      </c>
    </row>
    <row r="13" spans="1:16" s="9" customFormat="1" ht="18.75">
      <c r="A13" s="12">
        <v>5</v>
      </c>
      <c r="B13" s="10" t="s">
        <v>10</v>
      </c>
      <c r="C13" s="13">
        <v>4482</v>
      </c>
      <c r="D13" s="13">
        <v>5000</v>
      </c>
      <c r="E13" s="14">
        <v>4999.9729999999954</v>
      </c>
      <c r="F13" s="13">
        <v>1757</v>
      </c>
      <c r="G13" s="13">
        <v>2362</v>
      </c>
      <c r="H13" s="13">
        <v>5514</v>
      </c>
      <c r="I13" s="13">
        <v>1687</v>
      </c>
      <c r="J13" s="13">
        <v>3156</v>
      </c>
      <c r="K13" s="13">
        <f>+'thu phí,lệ phí, khac 2023'!G7</f>
        <v>6162</v>
      </c>
      <c r="L13" s="13">
        <f>+'thu phí,lệ phí, khac 2023'!H7</f>
        <v>1796</v>
      </c>
      <c r="M13" s="13">
        <f t="shared" si="10"/>
        <v>3787</v>
      </c>
      <c r="N13" s="86">
        <f t="shared" si="1"/>
        <v>137.48326639892906</v>
      </c>
      <c r="O13" s="86">
        <f t="shared" si="2"/>
        <v>123.24</v>
      </c>
      <c r="P13" s="86">
        <f t="shared" si="3"/>
        <v>123.2406654995938</v>
      </c>
    </row>
    <row r="14" spans="1:16" s="9" customFormat="1" ht="18.75">
      <c r="A14" s="12">
        <v>6</v>
      </c>
      <c r="B14" s="10" t="s">
        <v>9</v>
      </c>
      <c r="C14" s="13">
        <v>3630</v>
      </c>
      <c r="D14" s="13">
        <v>5000</v>
      </c>
      <c r="E14" s="14">
        <v>5000</v>
      </c>
      <c r="F14" s="13">
        <v>5000</v>
      </c>
      <c r="G14" s="13"/>
      <c r="H14" s="13">
        <v>1973</v>
      </c>
      <c r="I14" s="13">
        <v>1973</v>
      </c>
      <c r="J14" s="13"/>
      <c r="K14" s="13">
        <v>2500</v>
      </c>
      <c r="L14" s="13">
        <v>2500</v>
      </c>
      <c r="M14" s="13">
        <f t="shared" si="10"/>
        <v>0</v>
      </c>
      <c r="N14" s="86">
        <f t="shared" si="1"/>
        <v>68.870523415977956</v>
      </c>
      <c r="O14" s="86">
        <f t="shared" si="2"/>
        <v>50</v>
      </c>
      <c r="P14" s="86">
        <f t="shared" si="3"/>
        <v>50</v>
      </c>
    </row>
    <row r="15" spans="1:16" s="9" customFormat="1" ht="18.75">
      <c r="A15" s="12">
        <v>7</v>
      </c>
      <c r="B15" s="10" t="s">
        <v>8</v>
      </c>
      <c r="C15" s="13">
        <v>6666</v>
      </c>
      <c r="D15" s="13">
        <v>17000</v>
      </c>
      <c r="E15" s="14">
        <v>17000</v>
      </c>
      <c r="F15" s="13">
        <v>11000</v>
      </c>
      <c r="G15" s="13"/>
      <c r="H15" s="13">
        <f>8748-145</f>
        <v>8603</v>
      </c>
      <c r="I15" s="13">
        <v>5015</v>
      </c>
      <c r="J15" s="13"/>
      <c r="K15" s="13">
        <f>+'thu phí,lệ phí, khac 2023'!G17</f>
        <v>9683</v>
      </c>
      <c r="L15" s="13">
        <f>+'thu phí,lệ phí, khac 2023'!H17</f>
        <v>5440</v>
      </c>
      <c r="M15" s="13">
        <f t="shared" si="10"/>
        <v>0</v>
      </c>
      <c r="N15" s="86">
        <f t="shared" si="1"/>
        <v>145.25952595259525</v>
      </c>
      <c r="O15" s="86">
        <f t="shared" si="2"/>
        <v>56.95882352941176</v>
      </c>
      <c r="P15" s="86">
        <f t="shared" si="3"/>
        <v>56.95882352941176</v>
      </c>
    </row>
    <row r="16" spans="1:16" s="9" customFormat="1" ht="18.75">
      <c r="A16" s="12">
        <v>8</v>
      </c>
      <c r="B16" s="10" t="s">
        <v>7</v>
      </c>
      <c r="C16" s="13">
        <v>1115</v>
      </c>
      <c r="D16" s="13">
        <v>2800</v>
      </c>
      <c r="E16" s="14">
        <v>2800</v>
      </c>
      <c r="F16" s="13"/>
      <c r="G16" s="13">
        <v>2800</v>
      </c>
      <c r="H16" s="13">
        <f t="shared" ref="H16:H17" si="11">SUM(I16:J16)</f>
        <v>967</v>
      </c>
      <c r="I16" s="13">
        <v>0</v>
      </c>
      <c r="J16" s="13">
        <f>822+145</f>
        <v>967</v>
      </c>
      <c r="K16" s="13">
        <f t="shared" si="8"/>
        <v>1160</v>
      </c>
      <c r="L16" s="13">
        <f t="shared" si="9"/>
        <v>0</v>
      </c>
      <c r="M16" s="13">
        <f t="shared" si="10"/>
        <v>1160</v>
      </c>
      <c r="N16" s="86">
        <f t="shared" si="1"/>
        <v>104.03587443946188</v>
      </c>
      <c r="O16" s="86">
        <f t="shared" si="2"/>
        <v>41.428571428571431</v>
      </c>
      <c r="P16" s="86">
        <f t="shared" si="3"/>
        <v>41.428571428571431</v>
      </c>
    </row>
    <row r="17" spans="1:16" s="9" customFormat="1" ht="18.75">
      <c r="A17" s="12">
        <v>9</v>
      </c>
      <c r="B17" s="10" t="s">
        <v>6</v>
      </c>
      <c r="C17" s="13">
        <v>1962.3702400000002</v>
      </c>
      <c r="D17" s="13">
        <v>1200</v>
      </c>
      <c r="E17" s="14">
        <v>1200</v>
      </c>
      <c r="F17" s="14">
        <v>1200</v>
      </c>
      <c r="G17" s="13"/>
      <c r="H17" s="13">
        <f t="shared" si="11"/>
        <v>28</v>
      </c>
      <c r="I17" s="13">
        <v>17</v>
      </c>
      <c r="J17" s="13">
        <v>11</v>
      </c>
      <c r="K17" s="13">
        <f>SUM(L17:M17)</f>
        <v>33</v>
      </c>
      <c r="L17" s="13">
        <f t="shared" si="9"/>
        <v>20</v>
      </c>
      <c r="M17" s="13">
        <f t="shared" si="10"/>
        <v>13</v>
      </c>
      <c r="N17" s="86">
        <f t="shared" si="1"/>
        <v>1.6816398520189542</v>
      </c>
      <c r="O17" s="86">
        <f t="shared" si="2"/>
        <v>2.75</v>
      </c>
      <c r="P17" s="86">
        <f t="shared" si="3"/>
        <v>2.75</v>
      </c>
    </row>
    <row r="18" spans="1:16" s="9" customFormat="1" ht="18.75">
      <c r="A18" s="12">
        <v>10</v>
      </c>
      <c r="B18" s="10" t="s">
        <v>407</v>
      </c>
      <c r="C18" s="13">
        <v>267740.33964899997</v>
      </c>
      <c r="D18" s="13">
        <v>500000</v>
      </c>
      <c r="E18" s="14">
        <v>900000</v>
      </c>
      <c r="F18" s="13">
        <v>630000</v>
      </c>
      <c r="G18" s="13">
        <v>90000</v>
      </c>
      <c r="H18" s="13">
        <v>401536</v>
      </c>
      <c r="I18" s="13">
        <v>280555</v>
      </c>
      <c r="J18" s="13">
        <v>40154</v>
      </c>
      <c r="K18" s="13">
        <v>418367.83199999999</v>
      </c>
      <c r="L18" s="13">
        <v>292357</v>
      </c>
      <c r="M18" s="13">
        <f>ROUND(K18*0.1,0)</f>
        <v>41837</v>
      </c>
      <c r="N18" s="86">
        <f t="shared" si="1"/>
        <v>156.25879632052025</v>
      </c>
      <c r="O18" s="86">
        <f t="shared" si="2"/>
        <v>83.673566399999999</v>
      </c>
      <c r="P18" s="86">
        <f t="shared" si="3"/>
        <v>46.485314666666667</v>
      </c>
    </row>
    <row r="19" spans="1:16" s="9" customFormat="1" ht="37.5">
      <c r="A19" s="12">
        <v>11</v>
      </c>
      <c r="B19" s="10" t="s">
        <v>132</v>
      </c>
      <c r="C19" s="13">
        <v>216</v>
      </c>
      <c r="D19" s="13"/>
      <c r="E19" s="14"/>
      <c r="F19" s="13"/>
      <c r="G19" s="13"/>
      <c r="H19" s="13">
        <v>226</v>
      </c>
      <c r="I19" s="13"/>
      <c r="J19" s="13"/>
      <c r="K19" s="13">
        <f>ROUND(H19/5*6,0)</f>
        <v>271</v>
      </c>
      <c r="L19" s="13">
        <f>ROUND(I19/5*6,0)</f>
        <v>0</v>
      </c>
      <c r="M19" s="13">
        <f>ROUND(J19/5*6,0)</f>
        <v>0</v>
      </c>
      <c r="N19" s="85">
        <f t="shared" si="1"/>
        <v>125.46296296296295</v>
      </c>
      <c r="O19" s="85" t="str">
        <f t="shared" si="2"/>
        <v/>
      </c>
      <c r="P19" s="85" t="str">
        <f t="shared" si="3"/>
        <v/>
      </c>
    </row>
    <row r="20" spans="1:16" s="9" customFormat="1" ht="18.75">
      <c r="A20" s="12">
        <v>12</v>
      </c>
      <c r="B20" s="10" t="s">
        <v>133</v>
      </c>
      <c r="C20" s="13"/>
      <c r="D20" s="13"/>
      <c r="E20" s="14"/>
      <c r="F20" s="13"/>
      <c r="G20" s="13"/>
      <c r="H20" s="13">
        <v>296</v>
      </c>
      <c r="I20" s="13">
        <v>0</v>
      </c>
      <c r="J20" s="13">
        <v>296</v>
      </c>
      <c r="K20" s="13">
        <f t="shared" si="8"/>
        <v>355</v>
      </c>
      <c r="L20" s="13">
        <f t="shared" si="9"/>
        <v>0</v>
      </c>
      <c r="M20" s="13">
        <f t="shared" si="10"/>
        <v>355</v>
      </c>
      <c r="N20" s="86" t="str">
        <f t="shared" si="1"/>
        <v/>
      </c>
      <c r="O20" s="86" t="str">
        <f t="shared" si="2"/>
        <v/>
      </c>
      <c r="P20" s="86" t="str">
        <f t="shared" si="3"/>
        <v/>
      </c>
    </row>
    <row r="21" spans="1:16" s="21" customFormat="1" ht="18.75">
      <c r="A21" s="19" t="s">
        <v>5</v>
      </c>
      <c r="B21" s="82" t="s">
        <v>135</v>
      </c>
      <c r="C21" s="81">
        <v>287990.82486300002</v>
      </c>
      <c r="D21" s="81"/>
      <c r="E21" s="81"/>
      <c r="F21" s="81"/>
      <c r="G21" s="81"/>
      <c r="H21" s="81">
        <v>68430</v>
      </c>
      <c r="I21" s="81">
        <v>0</v>
      </c>
      <c r="J21" s="81">
        <v>68430</v>
      </c>
      <c r="K21" s="17">
        <f>SUM(L21:M21)</f>
        <v>542501.411631</v>
      </c>
      <c r="L21" s="81">
        <v>473803.79630400002</v>
      </c>
      <c r="M21" s="81">
        <v>68697.615327000007</v>
      </c>
      <c r="N21" s="87">
        <f t="shared" si="1"/>
        <v>188.37454696311005</v>
      </c>
      <c r="O21" s="87" t="str">
        <f t="shared" si="2"/>
        <v/>
      </c>
      <c r="P21" s="87" t="str">
        <f t="shared" si="3"/>
        <v/>
      </c>
    </row>
    <row r="22" spans="1:16" s="15" customFormat="1" ht="28.5" customHeight="1">
      <c r="A22" s="19" t="s">
        <v>134</v>
      </c>
      <c r="B22" s="83" t="s">
        <v>136</v>
      </c>
      <c r="C22" s="84">
        <v>130.958</v>
      </c>
      <c r="D22" s="17"/>
      <c r="E22" s="84"/>
      <c r="F22" s="18"/>
      <c r="G22" s="17"/>
      <c r="H22" s="18">
        <v>130.958</v>
      </c>
      <c r="I22" s="18">
        <v>130.958</v>
      </c>
      <c r="J22" s="17"/>
      <c r="K22" s="17">
        <v>130.958</v>
      </c>
      <c r="L22" s="18">
        <v>130.958</v>
      </c>
      <c r="M22" s="17"/>
      <c r="N22" s="85">
        <f t="shared" si="1"/>
        <v>100</v>
      </c>
      <c r="O22" s="85" t="str">
        <f t="shared" si="2"/>
        <v/>
      </c>
      <c r="P22" s="85" t="str">
        <f t="shared" si="3"/>
        <v/>
      </c>
    </row>
    <row r="23" spans="1:16" s="15" customFormat="1" ht="18.75">
      <c r="A23" s="19" t="s">
        <v>98</v>
      </c>
      <c r="B23" s="16" t="s">
        <v>4</v>
      </c>
      <c r="C23" s="17">
        <v>261163.01866700003</v>
      </c>
      <c r="D23" s="18">
        <f>SUM(D24:D25)</f>
        <v>579624</v>
      </c>
      <c r="E23" s="18">
        <f>SUM(E24:E25)</f>
        <v>588952</v>
      </c>
      <c r="F23" s="18">
        <f>SUM(F24:F25)</f>
        <v>471412</v>
      </c>
      <c r="G23" s="17">
        <f>SUM(G24:G25)</f>
        <v>117540</v>
      </c>
      <c r="H23" s="17">
        <f t="shared" ref="H23:J23" si="12">SUM(H24:H25)</f>
        <v>308788</v>
      </c>
      <c r="I23" s="17">
        <f t="shared" si="12"/>
        <v>258434</v>
      </c>
      <c r="J23" s="17">
        <f t="shared" si="12"/>
        <v>50354</v>
      </c>
      <c r="K23" s="17">
        <f t="shared" ref="K23" si="13">SUM(K24:K25)</f>
        <v>363857</v>
      </c>
      <c r="L23" s="17">
        <f t="shared" ref="L23" si="14">SUM(L24:L25)</f>
        <v>305086</v>
      </c>
      <c r="M23" s="17">
        <f t="shared" ref="M23" si="15">SUM(M24:M25)</f>
        <v>58771</v>
      </c>
      <c r="N23" s="85">
        <f t="shared" si="1"/>
        <v>139.32179290052608</v>
      </c>
      <c r="O23" s="85">
        <f t="shared" si="2"/>
        <v>62.774660814597048</v>
      </c>
      <c r="P23" s="85">
        <f t="shared" si="3"/>
        <v>61.78041674024368</v>
      </c>
    </row>
    <row r="24" spans="1:16" s="9" customFormat="1" ht="18.75">
      <c r="A24" s="12"/>
      <c r="B24" s="10" t="s">
        <v>3</v>
      </c>
      <c r="C24" s="13">
        <v>230686.53866700002</v>
      </c>
      <c r="D24" s="13">
        <v>559907</v>
      </c>
      <c r="E24" s="14">
        <f>SUM(F24:G24)</f>
        <v>559907</v>
      </c>
      <c r="F24" s="13">
        <f>462127+1145-600</f>
        <v>462672</v>
      </c>
      <c r="G24" s="13">
        <f>97780+600-1145</f>
        <v>97235</v>
      </c>
      <c r="H24" s="13">
        <f t="shared" ref="H24:H27" si="16">SUM(I24:J24)</f>
        <v>274791</v>
      </c>
      <c r="I24" s="13">
        <v>233302</v>
      </c>
      <c r="J24" s="13">
        <v>41489</v>
      </c>
      <c r="K24" s="13">
        <f t="shared" ref="K24:K27" si="17">SUM(L24:M24)</f>
        <v>328572</v>
      </c>
      <c r="L24" s="13">
        <f>ROUND(E24/2,0)</f>
        <v>279954</v>
      </c>
      <c r="M24" s="13">
        <f>ROUND(G24/2,0)</f>
        <v>48618</v>
      </c>
      <c r="N24" s="86">
        <f t="shared" si="1"/>
        <v>142.43223809183741</v>
      </c>
      <c r="O24" s="86">
        <f t="shared" si="2"/>
        <v>58.68331705086738</v>
      </c>
      <c r="P24" s="86">
        <f t="shared" si="3"/>
        <v>58.68331705086738</v>
      </c>
    </row>
    <row r="25" spans="1:16" s="9" customFormat="1" ht="18.75">
      <c r="A25" s="12"/>
      <c r="B25" s="11" t="s">
        <v>2</v>
      </c>
      <c r="C25" s="88">
        <v>30476.480000000003</v>
      </c>
      <c r="D25" s="5">
        <f>SUM(D26:D27)</f>
        <v>19717</v>
      </c>
      <c r="E25" s="5">
        <f>SUM(E26:E27)</f>
        <v>29045</v>
      </c>
      <c r="F25" s="5">
        <f>SUM(F26:F27)</f>
        <v>8740</v>
      </c>
      <c r="G25" s="5">
        <f>SUM(G26:G27)</f>
        <v>20305</v>
      </c>
      <c r="H25" s="5">
        <f t="shared" si="16"/>
        <v>33997</v>
      </c>
      <c r="I25" s="5">
        <v>25132</v>
      </c>
      <c r="J25" s="5">
        <v>8865</v>
      </c>
      <c r="K25" s="5">
        <f t="shared" si="17"/>
        <v>35285</v>
      </c>
      <c r="L25" s="13">
        <v>25132</v>
      </c>
      <c r="M25" s="13">
        <f>ROUND(G25/2,0)</f>
        <v>10153</v>
      </c>
      <c r="N25" s="89">
        <f t="shared" si="1"/>
        <v>115.77780636083956</v>
      </c>
      <c r="O25" s="89">
        <f t="shared" si="2"/>
        <v>178.95724501699041</v>
      </c>
      <c r="P25" s="86">
        <f t="shared" si="3"/>
        <v>121.48390428645206</v>
      </c>
    </row>
    <row r="26" spans="1:16" s="2" customFormat="1" ht="16.5" customHeight="1">
      <c r="A26" s="8"/>
      <c r="B26" s="7" t="s">
        <v>1</v>
      </c>
      <c r="C26" s="6"/>
      <c r="D26" s="6">
        <v>19717</v>
      </c>
      <c r="E26" s="5">
        <f>SUM(F26:G26)</f>
        <v>19717</v>
      </c>
      <c r="F26" s="4">
        <v>8740</v>
      </c>
      <c r="G26" s="4">
        <f>+[1]MT!D7</f>
        <v>10977</v>
      </c>
      <c r="H26" s="5">
        <f t="shared" si="16"/>
        <v>4201</v>
      </c>
      <c r="I26" s="4"/>
      <c r="J26" s="4">
        <f>+J25-J27</f>
        <v>4201</v>
      </c>
      <c r="K26" s="5">
        <f t="shared" si="17"/>
        <v>5489</v>
      </c>
      <c r="L26" s="4"/>
      <c r="M26" s="4">
        <f>+M25-M27</f>
        <v>5489</v>
      </c>
      <c r="N26" s="90" t="str">
        <f t="shared" si="1"/>
        <v/>
      </c>
      <c r="O26" s="90">
        <f t="shared" si="2"/>
        <v>27.838920728305521</v>
      </c>
      <c r="P26" s="90">
        <f t="shared" si="3"/>
        <v>27.838920728305521</v>
      </c>
    </row>
    <row r="27" spans="1:16" ht="18.75">
      <c r="A27" s="8"/>
      <c r="B27" s="7" t="s">
        <v>0</v>
      </c>
      <c r="C27" s="6"/>
      <c r="D27" s="6"/>
      <c r="E27" s="5">
        <f>SUM(F27:G27)</f>
        <v>9328</v>
      </c>
      <c r="F27" s="4"/>
      <c r="G27" s="4">
        <f>+[1]MT!G7</f>
        <v>9328</v>
      </c>
      <c r="H27" s="5">
        <f t="shared" si="16"/>
        <v>4664</v>
      </c>
      <c r="I27" s="4"/>
      <c r="J27" s="4">
        <v>4664</v>
      </c>
      <c r="K27" s="5">
        <f t="shared" si="17"/>
        <v>4664</v>
      </c>
      <c r="L27" s="4"/>
      <c r="M27" s="4">
        <f>ROUND(G27/2,0)</f>
        <v>4664</v>
      </c>
      <c r="N27" s="90" t="str">
        <f t="shared" si="1"/>
        <v/>
      </c>
      <c r="O27" s="90" t="str">
        <f t="shared" si="2"/>
        <v/>
      </c>
      <c r="P27" s="90">
        <f t="shared" si="3"/>
        <v>50</v>
      </c>
    </row>
    <row r="37" spans="1:2" s="2" customFormat="1">
      <c r="A37" s="3"/>
      <c r="B37" s="1"/>
    </row>
  </sheetData>
  <mergeCells count="11">
    <mergeCell ref="A2:P2"/>
    <mergeCell ref="A5:A6"/>
    <mergeCell ref="B5:B6"/>
    <mergeCell ref="E5:G5"/>
    <mergeCell ref="A3:P3"/>
    <mergeCell ref="D5:D6"/>
    <mergeCell ref="H5:J5"/>
    <mergeCell ref="K5:M5"/>
    <mergeCell ref="N5:P5"/>
    <mergeCell ref="O4:P4"/>
    <mergeCell ref="C5:C6"/>
  </mergeCells>
  <pageMargins left="0.75" right="0.5" top="0.9" bottom="0.47" header="0.3" footer="0.3"/>
  <pageSetup paperSize="9" scale="6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5"/>
  <sheetViews>
    <sheetView zoomScale="85" zoomScaleNormal="85" workbookViewId="0">
      <pane xSplit="2" ySplit="7" topLeftCell="E8" activePane="bottomRight" state="frozen"/>
      <selection activeCell="D7" sqref="D7:F7"/>
      <selection pane="topRight" activeCell="D7" sqref="D7:F7"/>
      <selection pane="bottomLeft" activeCell="D7" sqref="D7:F7"/>
      <selection pane="bottomRight" activeCell="A3" sqref="A3:K3"/>
    </sheetView>
  </sheetViews>
  <sheetFormatPr defaultRowHeight="15.75"/>
  <cols>
    <col min="1" max="1" width="5.88671875" style="61" customWidth="1"/>
    <col min="2" max="2" width="30.21875" style="59" customWidth="1"/>
    <col min="3" max="3" width="10.21875" style="60" customWidth="1"/>
    <col min="4" max="4" width="10.5546875" style="60" customWidth="1"/>
    <col min="5" max="5" width="8.5546875" style="60" customWidth="1"/>
    <col min="6" max="6" width="10.5546875" style="60" customWidth="1"/>
    <col min="7" max="8" width="8.88671875" style="60"/>
    <col min="9" max="9" width="10.33203125" style="60" customWidth="1"/>
    <col min="10" max="10" width="10.5546875" style="60" bestFit="1" customWidth="1"/>
    <col min="11" max="11" width="8.88671875" style="60"/>
    <col min="12" max="14" width="8.88671875" style="60" hidden="1" customWidth="1"/>
    <col min="15" max="15" width="8.88671875" style="59" hidden="1" customWidth="1"/>
    <col min="16" max="16" width="9.109375" style="60" hidden="1" customWidth="1"/>
    <col min="17" max="17" width="11.21875" style="59" hidden="1" customWidth="1"/>
    <col min="18" max="19" width="0" style="59" hidden="1" customWidth="1"/>
    <col min="20" max="16384" width="8.88671875" style="59"/>
  </cols>
  <sheetData>
    <row r="1" spans="1:22" ht="15.75" customHeight="1">
      <c r="A1" s="300" t="s">
        <v>412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22" hidden="1">
      <c r="A2" s="286" t="e">
        <f>+'thu phí,lệ phí, khac 2023'!#REF!</f>
        <v>#REF!</v>
      </c>
      <c r="B2" s="286"/>
      <c r="C2" s="286"/>
      <c r="D2" s="286"/>
      <c r="E2" s="286"/>
    </row>
    <row r="3" spans="1:22" s="80" customFormat="1" ht="20.25" customHeight="1">
      <c r="A3" s="286" t="str">
        <f>+'thu phí,lệ phí, khac 2023'!A3</f>
        <v>(Kèm theo Báo cáo số             /BC-UBND ngày      /7   /2023 của UBND huyện)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101"/>
      <c r="M3" s="101"/>
      <c r="N3" s="101"/>
      <c r="P3" s="101"/>
    </row>
    <row r="4" spans="1:22" s="79" customFormat="1" ht="20.25" hidden="1">
      <c r="A4" s="286" t="s">
        <v>27</v>
      </c>
      <c r="B4" s="286"/>
      <c r="C4" s="286"/>
      <c r="D4" s="286"/>
      <c r="E4" s="286"/>
      <c r="F4" s="102"/>
      <c r="G4" s="102"/>
      <c r="H4" s="102"/>
      <c r="I4" s="102"/>
      <c r="J4" s="102"/>
      <c r="K4" s="102"/>
      <c r="L4" s="102"/>
      <c r="M4" s="102"/>
      <c r="N4" s="102"/>
      <c r="P4" s="102"/>
    </row>
    <row r="5" spans="1:22" s="74" customFormat="1">
      <c r="A5" s="78"/>
      <c r="B5" s="77"/>
      <c r="C5" s="77"/>
      <c r="D5" s="76"/>
      <c r="E5" s="75"/>
      <c r="F5" s="103"/>
      <c r="G5" s="123"/>
      <c r="H5" s="103"/>
      <c r="I5" s="103"/>
      <c r="J5" s="103"/>
      <c r="K5" s="103"/>
      <c r="L5" s="103"/>
      <c r="M5" s="103"/>
      <c r="N5" s="103"/>
      <c r="P5" s="103"/>
    </row>
    <row r="6" spans="1:22" s="69" customFormat="1" ht="34.5" customHeight="1">
      <c r="A6" s="283" t="s">
        <v>25</v>
      </c>
      <c r="B6" s="283" t="s">
        <v>125</v>
      </c>
      <c r="C6" s="282" t="s">
        <v>22</v>
      </c>
      <c r="D6" s="282"/>
      <c r="E6" s="282"/>
      <c r="F6" s="282" t="s">
        <v>127</v>
      </c>
      <c r="G6" s="282"/>
      <c r="H6" s="282"/>
      <c r="I6" s="282" t="s">
        <v>413</v>
      </c>
      <c r="J6" s="282"/>
      <c r="K6" s="282"/>
      <c r="L6" s="282" t="s">
        <v>171</v>
      </c>
      <c r="M6" s="282" t="s">
        <v>172</v>
      </c>
      <c r="N6" s="282"/>
      <c r="O6" s="299" t="s">
        <v>174</v>
      </c>
      <c r="P6" s="282" t="s">
        <v>172</v>
      </c>
      <c r="Q6" s="282"/>
    </row>
    <row r="7" spans="1:22" s="69" customFormat="1" ht="123.75" customHeight="1">
      <c r="A7" s="283"/>
      <c r="B7" s="283"/>
      <c r="C7" s="108" t="s">
        <v>143</v>
      </c>
      <c r="D7" s="108" t="s">
        <v>19</v>
      </c>
      <c r="E7" s="108" t="s">
        <v>18</v>
      </c>
      <c r="F7" s="108" t="s">
        <v>143</v>
      </c>
      <c r="G7" s="108" t="s">
        <v>19</v>
      </c>
      <c r="H7" s="108" t="s">
        <v>18</v>
      </c>
      <c r="I7" s="108" t="s">
        <v>143</v>
      </c>
      <c r="J7" s="108" t="s">
        <v>19</v>
      </c>
      <c r="K7" s="108" t="s">
        <v>18</v>
      </c>
      <c r="L7" s="282"/>
      <c r="M7" s="108" t="s">
        <v>19</v>
      </c>
      <c r="N7" s="108" t="s">
        <v>173</v>
      </c>
      <c r="O7" s="299"/>
      <c r="P7" s="108" t="s">
        <v>19</v>
      </c>
      <c r="Q7" s="108" t="s">
        <v>173</v>
      </c>
    </row>
    <row r="8" spans="1:22" s="69" customFormat="1" ht="21.95" customHeight="1">
      <c r="A8" s="109"/>
      <c r="B8" s="66" t="s">
        <v>123</v>
      </c>
      <c r="C8" s="65">
        <v>1456025</v>
      </c>
      <c r="D8" s="65">
        <v>1218298</v>
      </c>
      <c r="E8" s="65">
        <v>237727</v>
      </c>
      <c r="F8" s="65">
        <f>+F9+F22+F30+F31+F32+F35+F36+F37+F38+F39+F40+F44</f>
        <v>746115.45699999994</v>
      </c>
      <c r="G8" s="65">
        <f t="shared" ref="G8:N8" si="0">+G9+G22+G30+G31+G32+G35+G36+G37+G38+G39+G40+G44</f>
        <v>632303.45699999994</v>
      </c>
      <c r="H8" s="65">
        <f t="shared" si="0"/>
        <v>113812</v>
      </c>
      <c r="I8" s="65">
        <f t="shared" si="0"/>
        <v>1421240.9546310001</v>
      </c>
      <c r="J8" s="65">
        <f>+J9+J22+J30+J31+J32+J35+J36+J37+J38+J39+J40+J44</f>
        <v>1221711.3393040001</v>
      </c>
      <c r="K8" s="65">
        <f t="shared" si="0"/>
        <v>199529.61532700001</v>
      </c>
      <c r="L8" s="65">
        <f t="shared" si="0"/>
        <v>0</v>
      </c>
      <c r="M8" s="65">
        <f t="shared" si="0"/>
        <v>161836</v>
      </c>
      <c r="N8" s="65">
        <f t="shared" si="0"/>
        <v>4338</v>
      </c>
      <c r="O8" s="122">
        <f>+D8+M8+P8-G8-J8</f>
        <v>-77</v>
      </c>
      <c r="P8" s="65">
        <f t="shared" ref="P8:Q8" si="1">+P9+P22+P30+P31+P32+P35+P36+P37+P38+P39+P40+P44</f>
        <v>473803.79630399996</v>
      </c>
      <c r="Q8" s="65">
        <f t="shared" si="1"/>
        <v>68584.615327000007</v>
      </c>
      <c r="R8" s="122"/>
      <c r="T8" s="122"/>
      <c r="U8" s="122"/>
      <c r="V8" s="122"/>
    </row>
    <row r="9" spans="1:22" s="69" customFormat="1" ht="21.95" customHeight="1">
      <c r="A9" s="109" t="s">
        <v>16</v>
      </c>
      <c r="B9" s="66" t="s">
        <v>122</v>
      </c>
      <c r="C9" s="65">
        <v>36355</v>
      </c>
      <c r="D9" s="65">
        <v>31133</v>
      </c>
      <c r="E9" s="65">
        <v>5222</v>
      </c>
      <c r="F9" s="65">
        <f t="shared" ref="F9" si="2">SUM(G9:H9)</f>
        <v>11706.85</v>
      </c>
      <c r="G9" s="65">
        <f>SUM(G11:G21)</f>
        <v>7840.85</v>
      </c>
      <c r="H9" s="62">
        <f>VLOOKUP($B9,'DT CHI 2023'!$B$9:$M$44,12,0)</f>
        <v>3866</v>
      </c>
      <c r="I9" s="65">
        <f t="shared" ref="I9:I39" si="3">SUM(J9:K9)</f>
        <v>29317.261300000002</v>
      </c>
      <c r="J9" s="65">
        <f>SUM(J11:J21)</f>
        <v>24317.261300000002</v>
      </c>
      <c r="K9" s="65">
        <f>+E9-H9+N9</f>
        <v>5000</v>
      </c>
      <c r="L9" s="76"/>
      <c r="M9" s="65">
        <f>SUM(M11:M21)</f>
        <v>470</v>
      </c>
      <c r="N9" s="76">
        <v>3644</v>
      </c>
      <c r="O9" s="122">
        <f t="shared" ref="O9:O45" si="4">+D9+M9+P9-G9-J9</f>
        <v>0</v>
      </c>
      <c r="P9" s="65">
        <f>SUM(P11:P21)</f>
        <v>555.11130000000003</v>
      </c>
      <c r="R9" s="122"/>
      <c r="T9" s="122"/>
      <c r="U9" s="122"/>
      <c r="V9" s="122"/>
    </row>
    <row r="10" spans="1:22" s="69" customFormat="1" ht="21.95" customHeight="1">
      <c r="A10" s="64">
        <v>1</v>
      </c>
      <c r="B10" s="63" t="s">
        <v>121</v>
      </c>
      <c r="C10" s="62">
        <v>3412</v>
      </c>
      <c r="D10" s="62">
        <v>3412</v>
      </c>
      <c r="E10" s="62"/>
      <c r="F10" s="65">
        <f>VLOOKUP($B10,'DT CHI 2023'!$B$10:$M$44,10,0)</f>
        <v>606</v>
      </c>
      <c r="G10" s="62">
        <f>VLOOKUP($B10,'DT CHI 2023'!$B$10:$M$44,11,0)</f>
        <v>606</v>
      </c>
      <c r="H10" s="62">
        <f>VLOOKUP($B10,'DT CHI 2023'!$B$10:$M$44,12,0)</f>
        <v>0</v>
      </c>
      <c r="I10" s="62">
        <f t="shared" ref="I10:J10" si="5">SUM(I11:I12)</f>
        <v>3586.1113</v>
      </c>
      <c r="J10" s="62">
        <f t="shared" si="5"/>
        <v>3586.1113</v>
      </c>
      <c r="K10" s="65"/>
      <c r="L10" s="76"/>
      <c r="M10" s="62">
        <f t="shared" ref="M10" si="6">SUM(M11:M12)</f>
        <v>470</v>
      </c>
      <c r="N10" s="76"/>
      <c r="O10" s="122">
        <f t="shared" si="4"/>
        <v>0</v>
      </c>
      <c r="P10" s="62">
        <f t="shared" ref="P10" si="7">SUM(P11:P12)</f>
        <v>310.11130000000003</v>
      </c>
      <c r="R10" s="122"/>
      <c r="T10" s="122"/>
      <c r="U10" s="122"/>
      <c r="V10" s="122"/>
    </row>
    <row r="11" spans="1:22" s="69" customFormat="1" ht="21.95" customHeight="1">
      <c r="A11" s="64"/>
      <c r="B11" s="63" t="s">
        <v>120</v>
      </c>
      <c r="C11" s="65">
        <v>2910</v>
      </c>
      <c r="D11" s="65">
        <v>2910</v>
      </c>
      <c r="E11" s="65"/>
      <c r="F11" s="65">
        <f>VLOOKUP($B11,'DT CHI 2023'!$B$10:$M$44,10,0)</f>
        <v>506</v>
      </c>
      <c r="G11" s="62">
        <f>VLOOKUP($B11,'DT CHI 2023'!$B$10:$M$44,11,0)</f>
        <v>506</v>
      </c>
      <c r="H11" s="62">
        <f>VLOOKUP($B11,'DT CHI 2023'!$B$10:$M$44,12,0)</f>
        <v>0</v>
      </c>
      <c r="I11" s="62">
        <f t="shared" si="3"/>
        <v>3184.1113</v>
      </c>
      <c r="J11" s="62">
        <f>+D11-G11+M11+P11</f>
        <v>3184.1113</v>
      </c>
      <c r="K11" s="65"/>
      <c r="L11" s="76"/>
      <c r="M11" s="76">
        <v>470</v>
      </c>
      <c r="N11" s="76"/>
      <c r="O11" s="122">
        <f t="shared" si="4"/>
        <v>0</v>
      </c>
      <c r="P11" s="76">
        <f>190.1113+120</f>
        <v>310.11130000000003</v>
      </c>
      <c r="R11" s="122"/>
      <c r="T11" s="122"/>
      <c r="U11" s="122"/>
      <c r="V11" s="122"/>
    </row>
    <row r="12" spans="1:22" s="69" customFormat="1" ht="21.95" customHeight="1">
      <c r="A12" s="64"/>
      <c r="B12" s="63" t="s">
        <v>119</v>
      </c>
      <c r="C12" s="65">
        <v>502</v>
      </c>
      <c r="D12" s="65">
        <v>502</v>
      </c>
      <c r="E12" s="65"/>
      <c r="F12" s="65">
        <f>VLOOKUP($B12,'DT CHI 2023'!$B$10:$M$44,10,0)</f>
        <v>100</v>
      </c>
      <c r="G12" s="62">
        <f>VLOOKUP($B12,'DT CHI 2023'!$B$10:$M$44,11,0)</f>
        <v>100</v>
      </c>
      <c r="H12" s="62">
        <f>VLOOKUP($B12,'DT CHI 2023'!$B$10:$M$44,12,0)</f>
        <v>0</v>
      </c>
      <c r="I12" s="62">
        <f t="shared" si="3"/>
        <v>402</v>
      </c>
      <c r="J12" s="62">
        <f t="shared" ref="J12:J38" si="8">+D12-G12+M12</f>
        <v>402</v>
      </c>
      <c r="K12" s="65"/>
      <c r="L12" s="76"/>
      <c r="M12" s="76"/>
      <c r="N12" s="76"/>
      <c r="O12" s="122">
        <f t="shared" si="4"/>
        <v>0</v>
      </c>
      <c r="P12" s="76"/>
      <c r="R12" s="122"/>
      <c r="T12" s="122"/>
      <c r="U12" s="122"/>
      <c r="V12" s="122"/>
    </row>
    <row r="13" spans="1:22" s="69" customFormat="1" ht="21.95" customHeight="1">
      <c r="A13" s="64">
        <v>2</v>
      </c>
      <c r="B13" s="63" t="s">
        <v>118</v>
      </c>
      <c r="C13" s="65">
        <v>770</v>
      </c>
      <c r="D13" s="65">
        <v>770</v>
      </c>
      <c r="E13" s="65"/>
      <c r="F13" s="65">
        <f>VLOOKUP($B13,'DT CHI 2023'!$B$10:$M$44,10,0)</f>
        <v>100</v>
      </c>
      <c r="G13" s="62">
        <f>VLOOKUP($B13,'DT CHI 2023'!$B$10:$M$44,11,0)</f>
        <v>100</v>
      </c>
      <c r="H13" s="62">
        <f>VLOOKUP($B13,'DT CHI 2023'!$B$10:$M$44,12,0)</f>
        <v>0</v>
      </c>
      <c r="I13" s="62">
        <f t="shared" si="3"/>
        <v>670</v>
      </c>
      <c r="J13" s="62">
        <f t="shared" si="8"/>
        <v>670</v>
      </c>
      <c r="K13" s="65"/>
      <c r="L13" s="76"/>
      <c r="M13" s="76"/>
      <c r="N13" s="76"/>
      <c r="O13" s="122">
        <f t="shared" si="4"/>
        <v>0</v>
      </c>
      <c r="P13" s="76"/>
      <c r="R13" s="122"/>
      <c r="T13" s="122"/>
      <c r="U13" s="122"/>
      <c r="V13" s="122"/>
    </row>
    <row r="14" spans="1:22" s="69" customFormat="1" ht="21.95" customHeight="1">
      <c r="A14" s="64">
        <v>3</v>
      </c>
      <c r="B14" s="63" t="s">
        <v>117</v>
      </c>
      <c r="C14" s="65">
        <v>1146</v>
      </c>
      <c r="D14" s="65">
        <v>1146</v>
      </c>
      <c r="E14" s="65"/>
      <c r="F14" s="65">
        <f>VLOOKUP($B14,'DT CHI 2023'!$B$10:$M$44,10,0)</f>
        <v>629</v>
      </c>
      <c r="G14" s="62">
        <f>VLOOKUP($B14,'DT CHI 2023'!$B$10:$M$44,11,0)</f>
        <v>629</v>
      </c>
      <c r="H14" s="62">
        <f>VLOOKUP($B14,'DT CHI 2023'!$B$10:$M$44,12,0)</f>
        <v>0</v>
      </c>
      <c r="I14" s="62">
        <f t="shared" si="3"/>
        <v>517</v>
      </c>
      <c r="J14" s="62">
        <f t="shared" si="8"/>
        <v>517</v>
      </c>
      <c r="K14" s="65"/>
      <c r="L14" s="76"/>
      <c r="M14" s="76"/>
      <c r="N14" s="76"/>
      <c r="O14" s="122">
        <f t="shared" si="4"/>
        <v>0</v>
      </c>
      <c r="P14" s="76"/>
      <c r="R14" s="122"/>
      <c r="T14" s="122"/>
      <c r="U14" s="122"/>
      <c r="V14" s="122"/>
    </row>
    <row r="15" spans="1:22" s="69" customFormat="1" ht="21.95" customHeight="1">
      <c r="A15" s="64">
        <v>4</v>
      </c>
      <c r="B15" s="63" t="s">
        <v>116</v>
      </c>
      <c r="C15" s="65">
        <v>1955</v>
      </c>
      <c r="D15" s="65">
        <v>1955</v>
      </c>
      <c r="E15" s="65"/>
      <c r="F15" s="65">
        <f>VLOOKUP($B15,'DT CHI 2023'!$B$10:$M$44,10,0)</f>
        <v>959</v>
      </c>
      <c r="G15" s="62">
        <f>VLOOKUP($B15,'DT CHI 2023'!$B$10:$M$44,11,0)</f>
        <v>959</v>
      </c>
      <c r="H15" s="62">
        <f>VLOOKUP($B15,'DT CHI 2023'!$B$10:$M$44,12,0)</f>
        <v>0</v>
      </c>
      <c r="I15" s="62">
        <f t="shared" si="3"/>
        <v>996</v>
      </c>
      <c r="J15" s="62">
        <f t="shared" si="8"/>
        <v>996</v>
      </c>
      <c r="K15" s="65"/>
      <c r="L15" s="76"/>
      <c r="M15" s="76"/>
      <c r="N15" s="76"/>
      <c r="O15" s="122">
        <f t="shared" si="4"/>
        <v>0</v>
      </c>
      <c r="P15" s="76"/>
      <c r="R15" s="122"/>
      <c r="T15" s="122"/>
      <c r="U15" s="122"/>
      <c r="V15" s="122"/>
    </row>
    <row r="16" spans="1:22" s="69" customFormat="1" ht="21.95" customHeight="1">
      <c r="A16" s="64">
        <v>5</v>
      </c>
      <c r="B16" s="63" t="s">
        <v>115</v>
      </c>
      <c r="C16" s="65">
        <v>1900</v>
      </c>
      <c r="D16" s="65">
        <v>1900</v>
      </c>
      <c r="E16" s="65"/>
      <c r="F16" s="65">
        <f>VLOOKUP($B16,'DT CHI 2023'!$B$10:$M$44,10,0)</f>
        <v>50</v>
      </c>
      <c r="G16" s="62">
        <f>VLOOKUP($B16,'DT CHI 2023'!$B$10:$M$44,11,0)</f>
        <v>50</v>
      </c>
      <c r="H16" s="62">
        <f>VLOOKUP($B16,'DT CHI 2023'!$B$10:$M$44,12,0)</f>
        <v>0</v>
      </c>
      <c r="I16" s="62">
        <f t="shared" si="3"/>
        <v>1850</v>
      </c>
      <c r="J16" s="62">
        <f t="shared" si="8"/>
        <v>1850</v>
      </c>
      <c r="K16" s="65"/>
      <c r="L16" s="76"/>
      <c r="M16" s="76"/>
      <c r="N16" s="76"/>
      <c r="O16" s="122">
        <f t="shared" si="4"/>
        <v>0</v>
      </c>
      <c r="P16" s="76"/>
      <c r="R16" s="122"/>
      <c r="T16" s="122"/>
      <c r="U16" s="122"/>
      <c r="V16" s="122"/>
    </row>
    <row r="17" spans="1:22" s="69" customFormat="1" ht="21.95" customHeight="1">
      <c r="A17" s="64">
        <v>6</v>
      </c>
      <c r="B17" s="63" t="s">
        <v>114</v>
      </c>
      <c r="C17" s="65">
        <v>808</v>
      </c>
      <c r="D17" s="65">
        <v>808</v>
      </c>
      <c r="E17" s="65"/>
      <c r="F17" s="65">
        <f>VLOOKUP($B17,'DT CHI 2023'!$B$10:$M$44,10,0)</f>
        <v>255</v>
      </c>
      <c r="G17" s="62">
        <f>VLOOKUP($B17,'DT CHI 2023'!$B$10:$M$44,11,0)</f>
        <v>255</v>
      </c>
      <c r="H17" s="62">
        <f>VLOOKUP($B17,'DT CHI 2023'!$B$10:$M$44,12,0)</f>
        <v>0</v>
      </c>
      <c r="I17" s="62">
        <f t="shared" si="3"/>
        <v>553</v>
      </c>
      <c r="J17" s="62">
        <f t="shared" si="8"/>
        <v>553</v>
      </c>
      <c r="K17" s="65"/>
      <c r="L17" s="76"/>
      <c r="M17" s="76"/>
      <c r="N17" s="76"/>
      <c r="O17" s="122">
        <f t="shared" si="4"/>
        <v>0</v>
      </c>
      <c r="P17" s="76"/>
      <c r="R17" s="122"/>
      <c r="T17" s="122"/>
      <c r="U17" s="122"/>
      <c r="V17" s="122"/>
    </row>
    <row r="18" spans="1:22" s="69" customFormat="1" ht="21.95" customHeight="1">
      <c r="A18" s="64">
        <v>7</v>
      </c>
      <c r="B18" s="63" t="s">
        <v>113</v>
      </c>
      <c r="C18" s="65">
        <v>2816</v>
      </c>
      <c r="D18" s="65">
        <v>2816</v>
      </c>
      <c r="E18" s="65"/>
      <c r="F18" s="65">
        <f>VLOOKUP($B18,'DT CHI 2023'!$B$10:$M$44,10,0)</f>
        <v>781</v>
      </c>
      <c r="G18" s="62">
        <f>VLOOKUP($B18,'DT CHI 2023'!$B$10:$M$44,11,0)</f>
        <v>781</v>
      </c>
      <c r="H18" s="62">
        <f>VLOOKUP($B18,'DT CHI 2023'!$B$10:$M$44,12,0)</f>
        <v>0</v>
      </c>
      <c r="I18" s="62">
        <f t="shared" si="3"/>
        <v>2280</v>
      </c>
      <c r="J18" s="62">
        <f>+D18-G18+M18+P18</f>
        <v>2280</v>
      </c>
      <c r="K18" s="65"/>
      <c r="L18" s="76"/>
      <c r="M18" s="76"/>
      <c r="N18" s="76"/>
      <c r="O18" s="122">
        <f t="shared" si="4"/>
        <v>0</v>
      </c>
      <c r="P18" s="76">
        <v>245</v>
      </c>
      <c r="R18" s="122"/>
      <c r="T18" s="122"/>
      <c r="U18" s="122"/>
      <c r="V18" s="122"/>
    </row>
    <row r="19" spans="1:22" s="69" customFormat="1" ht="21.95" customHeight="1">
      <c r="A19" s="64">
        <v>8</v>
      </c>
      <c r="B19" s="63" t="s">
        <v>112</v>
      </c>
      <c r="C19" s="65">
        <v>1650</v>
      </c>
      <c r="D19" s="65">
        <v>1650</v>
      </c>
      <c r="E19" s="65"/>
      <c r="F19" s="65">
        <f>VLOOKUP($B19,'DT CHI 2023'!$B$10:$M$44,10,0)</f>
        <v>342.55</v>
      </c>
      <c r="G19" s="62">
        <f>VLOOKUP($B19,'DT CHI 2023'!$B$10:$M$44,11,0)</f>
        <v>342.55</v>
      </c>
      <c r="H19" s="62">
        <f>VLOOKUP($B19,'DT CHI 2023'!$B$10:$M$44,12,0)</f>
        <v>0</v>
      </c>
      <c r="I19" s="62">
        <f t="shared" si="3"/>
        <v>1307.45</v>
      </c>
      <c r="J19" s="62">
        <f t="shared" si="8"/>
        <v>1307.45</v>
      </c>
      <c r="K19" s="65"/>
      <c r="L19" s="76"/>
      <c r="M19" s="76"/>
      <c r="N19" s="76"/>
      <c r="O19" s="122">
        <f t="shared" si="4"/>
        <v>0</v>
      </c>
      <c r="P19" s="76"/>
      <c r="R19" s="122"/>
      <c r="T19" s="122"/>
      <c r="U19" s="122"/>
      <c r="V19" s="122"/>
    </row>
    <row r="20" spans="1:22" s="69" customFormat="1" ht="21.95" customHeight="1">
      <c r="A20" s="64">
        <v>9</v>
      </c>
      <c r="B20" s="63" t="s">
        <v>111</v>
      </c>
      <c r="C20" s="65">
        <v>7176</v>
      </c>
      <c r="D20" s="65">
        <v>7176</v>
      </c>
      <c r="E20" s="65"/>
      <c r="F20" s="65">
        <f>VLOOKUP($B20,'DT CHI 2023'!$B$10:$M$44,10,0)</f>
        <v>4118.3</v>
      </c>
      <c r="G20" s="62">
        <f>VLOOKUP($B20,'DT CHI 2023'!$B$10:$M$44,11,0)</f>
        <v>4118.3</v>
      </c>
      <c r="H20" s="62">
        <f>VLOOKUP($B20,'DT CHI 2023'!$B$10:$M$44,12,0)</f>
        <v>0</v>
      </c>
      <c r="I20" s="62">
        <f t="shared" si="3"/>
        <v>3057.7</v>
      </c>
      <c r="J20" s="62">
        <f t="shared" si="8"/>
        <v>3057.7</v>
      </c>
      <c r="K20" s="65"/>
      <c r="L20" s="76"/>
      <c r="M20" s="76"/>
      <c r="N20" s="76"/>
      <c r="O20" s="122">
        <f t="shared" si="4"/>
        <v>0</v>
      </c>
      <c r="P20" s="76"/>
      <c r="R20" s="122"/>
      <c r="T20" s="122"/>
      <c r="U20" s="122"/>
      <c r="V20" s="122"/>
    </row>
    <row r="21" spans="1:22" s="69" customFormat="1" ht="21.95" customHeight="1">
      <c r="A21" s="64">
        <v>10</v>
      </c>
      <c r="B21" s="63" t="s">
        <v>110</v>
      </c>
      <c r="C21" s="65">
        <v>9500</v>
      </c>
      <c r="D21" s="65">
        <v>9500</v>
      </c>
      <c r="E21" s="65"/>
      <c r="F21" s="65">
        <f>VLOOKUP($B21,'DT CHI 2023'!$B$10:$M$44,10,0)</f>
        <v>0</v>
      </c>
      <c r="G21" s="65">
        <f>VLOOKUP($B21,'DT CHI 2023'!$B$10:$M$44,11,0)</f>
        <v>0</v>
      </c>
      <c r="H21" s="65">
        <f>VLOOKUP($B21,'DT CHI 2023'!$B$10:$M$44,12,0)</f>
        <v>0</v>
      </c>
      <c r="I21" s="65">
        <f t="shared" si="3"/>
        <v>9500</v>
      </c>
      <c r="J21" s="65">
        <f t="shared" si="8"/>
        <v>9500</v>
      </c>
      <c r="K21" s="65"/>
      <c r="L21" s="76"/>
      <c r="M21" s="76"/>
      <c r="N21" s="76"/>
      <c r="O21" s="122">
        <f t="shared" si="4"/>
        <v>0</v>
      </c>
      <c r="P21" s="76"/>
      <c r="R21" s="122"/>
      <c r="T21" s="122"/>
      <c r="U21" s="122"/>
      <c r="V21" s="122"/>
    </row>
    <row r="22" spans="1:22" ht="21.95" customHeight="1">
      <c r="A22" s="109" t="s">
        <v>5</v>
      </c>
      <c r="B22" s="66" t="s">
        <v>109</v>
      </c>
      <c r="C22" s="65">
        <v>459033</v>
      </c>
      <c r="D22" s="65">
        <v>445913</v>
      </c>
      <c r="E22" s="65">
        <v>13120</v>
      </c>
      <c r="F22" s="65">
        <f>VLOOKUP($B22,'DT CHI 2023'!$B$10:$M$44,10,0)</f>
        <v>202956</v>
      </c>
      <c r="G22" s="65">
        <f>VLOOKUP($B22,'DT CHI 2023'!$B$10:$M$44,11,0)</f>
        <v>196709</v>
      </c>
      <c r="H22" s="65">
        <f>VLOOKUP($B22,'DT CHI 2023'!$B$10:$M$44,12,0)</f>
        <v>6247</v>
      </c>
      <c r="I22" s="65">
        <f t="shared" ref="I22:P22" si="9">SUM(I23:I29)</f>
        <v>271764.407099</v>
      </c>
      <c r="J22" s="65">
        <f t="shared" si="9"/>
        <v>264582.407099</v>
      </c>
      <c r="K22" s="65">
        <f t="shared" si="9"/>
        <v>7182</v>
      </c>
      <c r="L22" s="65">
        <f t="shared" si="9"/>
        <v>0</v>
      </c>
      <c r="M22" s="65">
        <f t="shared" si="9"/>
        <v>2628</v>
      </c>
      <c r="N22" s="65">
        <f t="shared" si="9"/>
        <v>194</v>
      </c>
      <c r="O22" s="122">
        <f t="shared" si="4"/>
        <v>0</v>
      </c>
      <c r="P22" s="65">
        <f t="shared" si="9"/>
        <v>12750.407099</v>
      </c>
      <c r="R22" s="122"/>
      <c r="T22" s="122"/>
      <c r="U22" s="122"/>
      <c r="V22" s="122"/>
    </row>
    <row r="23" spans="1:22" ht="21.95" customHeight="1">
      <c r="A23" s="64">
        <v>1</v>
      </c>
      <c r="B23" s="72" t="s">
        <v>108</v>
      </c>
      <c r="C23" s="62">
        <v>7729</v>
      </c>
      <c r="D23" s="65">
        <v>4765</v>
      </c>
      <c r="E23" s="62">
        <v>2964</v>
      </c>
      <c r="F23" s="62">
        <f>VLOOKUP($B23,'DT CHI 2023'!$B$10:$M$44,10,0)</f>
        <v>2522</v>
      </c>
      <c r="G23" s="62">
        <f>VLOOKUP($B23,'DT CHI 2023'!$B$10:$M$44,11,0)</f>
        <v>1556</v>
      </c>
      <c r="H23" s="62">
        <f>VLOOKUP($B23,'DT CHI 2023'!$B$10:$M$44,12,0)</f>
        <v>966</v>
      </c>
      <c r="I23" s="62">
        <f t="shared" si="3"/>
        <v>5804.1440000000002</v>
      </c>
      <c r="J23" s="62">
        <f>+D23-G23+M23+P23</f>
        <v>3686.1440000000002</v>
      </c>
      <c r="K23" s="62">
        <f t="shared" ref="K23:K30" si="10">+E23-H23+N23</f>
        <v>2118</v>
      </c>
      <c r="M23" s="60">
        <v>177</v>
      </c>
      <c r="N23" s="60">
        <f>20+277-M23</f>
        <v>120</v>
      </c>
      <c r="O23" s="122">
        <f t="shared" si="4"/>
        <v>0</v>
      </c>
      <c r="P23" s="60">
        <f>300+0.144</f>
        <v>300.14400000000001</v>
      </c>
      <c r="R23" s="122"/>
      <c r="T23" s="122"/>
      <c r="U23" s="122"/>
      <c r="V23" s="122"/>
    </row>
    <row r="24" spans="1:22" ht="21.95" customHeight="1">
      <c r="A24" s="64">
        <v>2</v>
      </c>
      <c r="B24" s="72" t="s">
        <v>107</v>
      </c>
      <c r="C24" s="62">
        <v>2806</v>
      </c>
      <c r="D24" s="65">
        <v>1159</v>
      </c>
      <c r="E24" s="62">
        <v>1647</v>
      </c>
      <c r="F24" s="62">
        <f>VLOOKUP($B24,'DT CHI 2023'!$B$10:$M$44,10,0)</f>
        <v>600</v>
      </c>
      <c r="G24" s="62">
        <f>VLOOKUP($B24,'DT CHI 2023'!$B$10:$M$44,11,0)</f>
        <v>276</v>
      </c>
      <c r="H24" s="62">
        <f>VLOOKUP($B24,'DT CHI 2023'!$B$10:$M$44,12,0)</f>
        <v>324</v>
      </c>
      <c r="I24" s="62">
        <f t="shared" si="3"/>
        <v>2206</v>
      </c>
      <c r="J24" s="62">
        <f t="shared" si="8"/>
        <v>883</v>
      </c>
      <c r="K24" s="62">
        <f t="shared" si="10"/>
        <v>1323</v>
      </c>
      <c r="O24" s="122">
        <f t="shared" si="4"/>
        <v>0</v>
      </c>
      <c r="R24" s="122"/>
      <c r="T24" s="122"/>
      <c r="U24" s="122"/>
      <c r="V24" s="122"/>
    </row>
    <row r="25" spans="1:22" ht="21.95" customHeight="1">
      <c r="A25" s="64">
        <v>3</v>
      </c>
      <c r="B25" s="72" t="s">
        <v>106</v>
      </c>
      <c r="C25" s="62">
        <v>1560</v>
      </c>
      <c r="D25" s="65">
        <v>1025</v>
      </c>
      <c r="E25" s="62">
        <v>535</v>
      </c>
      <c r="F25" s="62">
        <f>VLOOKUP($B25,'DT CHI 2023'!$B$10:$M$44,10,0)</f>
        <v>514</v>
      </c>
      <c r="G25" s="62">
        <f>VLOOKUP($B25,'DT CHI 2023'!$B$10:$M$44,11,0)</f>
        <v>316</v>
      </c>
      <c r="H25" s="62">
        <f>VLOOKUP($B25,'DT CHI 2023'!$B$10:$M$44,12,0)</f>
        <v>198</v>
      </c>
      <c r="I25" s="62">
        <f t="shared" si="3"/>
        <v>1046</v>
      </c>
      <c r="J25" s="62">
        <f t="shared" si="8"/>
        <v>709</v>
      </c>
      <c r="K25" s="62">
        <f t="shared" si="10"/>
        <v>337</v>
      </c>
      <c r="O25" s="122">
        <f t="shared" si="4"/>
        <v>0</v>
      </c>
      <c r="R25" s="122"/>
      <c r="T25" s="122"/>
      <c r="U25" s="122"/>
      <c r="V25" s="122"/>
    </row>
    <row r="26" spans="1:22" ht="21.95" customHeight="1">
      <c r="A26" s="64">
        <v>4</v>
      </c>
      <c r="B26" s="72" t="s">
        <v>105</v>
      </c>
      <c r="C26" s="62">
        <v>60106</v>
      </c>
      <c r="D26" s="65">
        <v>52132</v>
      </c>
      <c r="E26" s="62">
        <v>7974</v>
      </c>
      <c r="F26" s="62">
        <f>VLOOKUP($B26,'DT CHI 2023'!$B$10:$M$44,10,0)</f>
        <v>31302</v>
      </c>
      <c r="G26" s="62">
        <f>VLOOKUP($B26,'DT CHI 2023'!$B$10:$M$44,11,0)</f>
        <v>26658</v>
      </c>
      <c r="H26" s="62">
        <f>VLOOKUP($B26,'DT CHI 2023'!$B$10:$M$44,12,0)</f>
        <v>4644</v>
      </c>
      <c r="I26" s="62">
        <f t="shared" si="3"/>
        <v>28804</v>
      </c>
      <c r="J26" s="62">
        <f t="shared" si="8"/>
        <v>25474</v>
      </c>
      <c r="K26" s="62">
        <f t="shared" si="10"/>
        <v>3330</v>
      </c>
      <c r="O26" s="122">
        <f t="shared" si="4"/>
        <v>0</v>
      </c>
      <c r="R26" s="122"/>
      <c r="T26" s="122"/>
      <c r="U26" s="122"/>
      <c r="V26" s="122"/>
    </row>
    <row r="27" spans="1:22" ht="21.95" customHeight="1">
      <c r="A27" s="64">
        <v>6</v>
      </c>
      <c r="B27" s="72" t="s">
        <v>104</v>
      </c>
      <c r="C27" s="62">
        <v>10791</v>
      </c>
      <c r="D27" s="65">
        <v>10791</v>
      </c>
      <c r="E27" s="62">
        <v>0</v>
      </c>
      <c r="F27" s="62">
        <f>VLOOKUP($B27,'DT CHI 2023'!$B$10:$M$44,10,0)</f>
        <v>1359</v>
      </c>
      <c r="G27" s="62">
        <f>VLOOKUP($B27,'DT CHI 2023'!$B$10:$M$44,11,0)</f>
        <v>1244</v>
      </c>
      <c r="H27" s="62">
        <f>VLOOKUP($B27,'DT CHI 2023'!$B$10:$M$44,12,0)</f>
        <v>115</v>
      </c>
      <c r="I27" s="62">
        <f t="shared" si="3"/>
        <v>9739</v>
      </c>
      <c r="J27" s="62">
        <f>+D27-G27+M27+P27</f>
        <v>9739</v>
      </c>
      <c r="K27" s="62"/>
      <c r="O27" s="122">
        <f t="shared" si="4"/>
        <v>0</v>
      </c>
      <c r="P27" s="60">
        <v>192</v>
      </c>
      <c r="R27" s="122"/>
      <c r="T27" s="122"/>
      <c r="U27" s="122"/>
      <c r="V27" s="122"/>
    </row>
    <row r="28" spans="1:22" ht="21.95" customHeight="1">
      <c r="A28" s="64">
        <v>5</v>
      </c>
      <c r="B28" s="72" t="s">
        <v>103</v>
      </c>
      <c r="C28" s="62">
        <v>374185</v>
      </c>
      <c r="D28" s="65">
        <v>374185</v>
      </c>
      <c r="E28" s="62">
        <v>0</v>
      </c>
      <c r="F28" s="62">
        <f>VLOOKUP($B28,'DT CHI 2023'!$B$10:$M$44,10,0)</f>
        <v>166090</v>
      </c>
      <c r="G28" s="62">
        <f>VLOOKUP($B28,'DT CHI 2023'!$B$10:$M$44,11,0)</f>
        <v>166090</v>
      </c>
      <c r="H28" s="62">
        <f>VLOOKUP($B28,'DT CHI 2023'!$B$10:$M$44,12,0)</f>
        <v>0</v>
      </c>
      <c r="I28" s="62">
        <f t="shared" si="3"/>
        <v>222878.263099</v>
      </c>
      <c r="J28" s="62">
        <f>+D28-G28+M28+P28</f>
        <v>222804.263099</v>
      </c>
      <c r="K28" s="62">
        <f t="shared" si="10"/>
        <v>74</v>
      </c>
      <c r="M28" s="60">
        <v>2451</v>
      </c>
      <c r="N28" s="60">
        <f>2525-M28</f>
        <v>74</v>
      </c>
      <c r="O28" s="122">
        <f t="shared" si="4"/>
        <v>0</v>
      </c>
      <c r="P28" s="60">
        <f>1623.513099+725+9750+159.75</f>
        <v>12258.263099</v>
      </c>
      <c r="R28" s="122"/>
      <c r="T28" s="122"/>
      <c r="U28" s="122"/>
      <c r="V28" s="122"/>
    </row>
    <row r="29" spans="1:22" ht="21.95" customHeight="1">
      <c r="A29" s="64">
        <v>7</v>
      </c>
      <c r="B29" s="72" t="s">
        <v>102</v>
      </c>
      <c r="C29" s="62">
        <v>1856</v>
      </c>
      <c r="D29" s="65">
        <v>1856</v>
      </c>
      <c r="E29" s="62">
        <v>0</v>
      </c>
      <c r="F29" s="62">
        <f>VLOOKUP($B29,'DT CHI 2023'!$B$10:$M$44,10,0)</f>
        <v>569</v>
      </c>
      <c r="G29" s="62">
        <f>VLOOKUP($B29,'DT CHI 2023'!$B$10:$M$44,11,0)</f>
        <v>569</v>
      </c>
      <c r="H29" s="62">
        <f>VLOOKUP($B29,'DT CHI 2023'!$B$10:$M$44,12,0)</f>
        <v>0</v>
      </c>
      <c r="I29" s="62">
        <f t="shared" si="3"/>
        <v>1287</v>
      </c>
      <c r="J29" s="62">
        <f t="shared" si="8"/>
        <v>1287</v>
      </c>
      <c r="K29" s="62">
        <f t="shared" si="10"/>
        <v>0</v>
      </c>
      <c r="O29" s="122">
        <f t="shared" si="4"/>
        <v>0</v>
      </c>
      <c r="R29" s="122"/>
      <c r="T29" s="122"/>
      <c r="U29" s="122"/>
      <c r="V29" s="122"/>
    </row>
    <row r="30" spans="1:22" s="69" customFormat="1" ht="21.95" customHeight="1">
      <c r="A30" s="109" t="s">
        <v>98</v>
      </c>
      <c r="B30" s="66" t="s">
        <v>101</v>
      </c>
      <c r="C30" s="65">
        <v>3841</v>
      </c>
      <c r="D30" s="65">
        <v>3232</v>
      </c>
      <c r="E30" s="65">
        <v>609</v>
      </c>
      <c r="F30" s="65">
        <f>VLOOKUP($B30,'DT CHI 2023'!$B$10:$M$44,10,0)</f>
        <v>612</v>
      </c>
      <c r="G30" s="65">
        <f>VLOOKUP($B30,'DT CHI 2023'!$B$10:$M$44,11,0)</f>
        <v>247</v>
      </c>
      <c r="H30" s="65">
        <f>VLOOKUP($B30,'DT CHI 2023'!$B$10:$M$44,12,0)</f>
        <v>365</v>
      </c>
      <c r="I30" s="65">
        <f t="shared" si="3"/>
        <v>3958</v>
      </c>
      <c r="J30" s="65">
        <f>+D30-G30+M30+P30</f>
        <v>3714</v>
      </c>
      <c r="K30" s="65">
        <f t="shared" si="10"/>
        <v>244</v>
      </c>
      <c r="L30" s="76"/>
      <c r="M30" s="76"/>
      <c r="N30" s="76"/>
      <c r="O30" s="122">
        <f t="shared" si="4"/>
        <v>0</v>
      </c>
      <c r="P30" s="76">
        <v>729</v>
      </c>
      <c r="R30" s="122"/>
      <c r="T30" s="122"/>
      <c r="U30" s="122"/>
      <c r="V30" s="122"/>
    </row>
    <row r="31" spans="1:22" ht="21.95" customHeight="1">
      <c r="A31" s="109" t="s">
        <v>100</v>
      </c>
      <c r="B31" s="66" t="s">
        <v>99</v>
      </c>
      <c r="C31" s="65">
        <v>136365</v>
      </c>
      <c r="D31" s="65">
        <v>36611</v>
      </c>
      <c r="E31" s="65">
        <v>99754</v>
      </c>
      <c r="F31" s="65">
        <f>VLOOKUP($B31,'DT CHI 2023'!$B$10:$M$44,10,0)</f>
        <v>69967</v>
      </c>
      <c r="G31" s="65">
        <f>VLOOKUP($B31,'DT CHI 2023'!$B$10:$M$44,11,0)</f>
        <v>16356</v>
      </c>
      <c r="H31" s="65">
        <f>VLOOKUP($B31,'DT CHI 2023'!$B$10:$M$44,12,0)</f>
        <v>53611</v>
      </c>
      <c r="I31" s="65">
        <f t="shared" si="3"/>
        <v>80422.651039999997</v>
      </c>
      <c r="J31" s="65">
        <f>+D31-G31+M31+P31</f>
        <v>28876.782999999999</v>
      </c>
      <c r="K31" s="65">
        <f>+E31-H31+N31+Q31</f>
        <v>51545.868040000001</v>
      </c>
      <c r="N31" s="60">
        <v>500</v>
      </c>
      <c r="O31" s="122">
        <f t="shared" si="4"/>
        <v>0</v>
      </c>
      <c r="P31" s="60">
        <f>121.783+8500</f>
        <v>8621.7829999999994</v>
      </c>
      <c r="Q31" s="59">
        <v>4902.8680400000003</v>
      </c>
      <c r="R31" s="122"/>
      <c r="T31" s="122"/>
      <c r="U31" s="122"/>
      <c r="V31" s="122"/>
    </row>
    <row r="32" spans="1:22">
      <c r="A32" s="109" t="s">
        <v>98</v>
      </c>
      <c r="B32" s="66" t="s">
        <v>97</v>
      </c>
      <c r="C32" s="65">
        <v>14683</v>
      </c>
      <c r="D32" s="65">
        <f t="shared" ref="D32:P32" si="11">SUM(D33:D34)</f>
        <v>10896</v>
      </c>
      <c r="E32" s="65">
        <f t="shared" si="11"/>
        <v>3787</v>
      </c>
      <c r="F32" s="65">
        <f t="shared" si="11"/>
        <v>9296</v>
      </c>
      <c r="G32" s="65">
        <f t="shared" si="11"/>
        <v>6799</v>
      </c>
      <c r="H32" s="65">
        <f t="shared" si="11"/>
        <v>2497</v>
      </c>
      <c r="I32" s="65">
        <f t="shared" si="11"/>
        <v>9251</v>
      </c>
      <c r="J32" s="65">
        <f t="shared" si="11"/>
        <v>6254</v>
      </c>
      <c r="K32" s="65">
        <f t="shared" si="11"/>
        <v>2997</v>
      </c>
      <c r="L32" s="60">
        <f t="shared" si="11"/>
        <v>0</v>
      </c>
      <c r="M32" s="60">
        <f t="shared" si="11"/>
        <v>0</v>
      </c>
      <c r="N32" s="60">
        <f t="shared" si="11"/>
        <v>0</v>
      </c>
      <c r="O32" s="122">
        <f t="shared" si="4"/>
        <v>0</v>
      </c>
      <c r="P32" s="60">
        <f t="shared" si="11"/>
        <v>2157</v>
      </c>
      <c r="R32" s="122"/>
      <c r="T32" s="122"/>
      <c r="U32" s="122"/>
      <c r="V32" s="122"/>
    </row>
    <row r="33" spans="1:22">
      <c r="A33" s="64">
        <v>1</v>
      </c>
      <c r="B33" s="63" t="s">
        <v>96</v>
      </c>
      <c r="C33" s="62">
        <v>3689</v>
      </c>
      <c r="D33" s="62">
        <v>2830</v>
      </c>
      <c r="E33" s="62">
        <v>859</v>
      </c>
      <c r="F33" s="62">
        <f>VLOOKUP($B33,'DT CHI 2023'!$B$10:$M$44,10,0)</f>
        <v>891</v>
      </c>
      <c r="G33" s="62">
        <f>VLOOKUP($B33,'DT CHI 2023'!$B$10:$M$44,11,0)</f>
        <v>463</v>
      </c>
      <c r="H33" s="62">
        <f>VLOOKUP($B33,'DT CHI 2023'!$B$10:$M$44,12,0)</f>
        <v>428</v>
      </c>
      <c r="I33" s="62">
        <f t="shared" si="3"/>
        <v>5038</v>
      </c>
      <c r="J33" s="62">
        <f>+D33-G33+M33+P33</f>
        <v>4524</v>
      </c>
      <c r="K33" s="62">
        <f t="shared" ref="K33:K38" si="12">ROUND(H33/5*6,0)</f>
        <v>514</v>
      </c>
      <c r="O33" s="122">
        <f t="shared" si="4"/>
        <v>0</v>
      </c>
      <c r="P33" s="60">
        <v>2157</v>
      </c>
      <c r="R33" s="122"/>
      <c r="T33" s="122"/>
      <c r="U33" s="122"/>
      <c r="V33" s="122"/>
    </row>
    <row r="34" spans="1:22" s="69" customFormat="1">
      <c r="A34" s="64">
        <v>2</v>
      </c>
      <c r="B34" s="63" t="s">
        <v>95</v>
      </c>
      <c r="C34" s="62">
        <v>10994</v>
      </c>
      <c r="D34" s="62">
        <v>8066</v>
      </c>
      <c r="E34" s="62">
        <v>2928</v>
      </c>
      <c r="F34" s="62">
        <f>VLOOKUP($B34,'DT CHI 2023'!$B$10:$M$44,10,0)</f>
        <v>8405</v>
      </c>
      <c r="G34" s="62">
        <f>VLOOKUP($B34,'DT CHI 2023'!$B$10:$M$44,11,0)</f>
        <v>6336</v>
      </c>
      <c r="H34" s="62">
        <f>VLOOKUP($B34,'DT CHI 2023'!$B$10:$M$44,12,0)</f>
        <v>2069</v>
      </c>
      <c r="I34" s="62">
        <f t="shared" si="3"/>
        <v>4213</v>
      </c>
      <c r="J34" s="62">
        <f t="shared" si="8"/>
        <v>1730</v>
      </c>
      <c r="K34" s="62">
        <f t="shared" si="12"/>
        <v>2483</v>
      </c>
      <c r="L34" s="76"/>
      <c r="M34" s="76"/>
      <c r="N34" s="76"/>
      <c r="O34" s="122">
        <f t="shared" si="4"/>
        <v>0</v>
      </c>
      <c r="P34" s="76"/>
      <c r="R34" s="122"/>
      <c r="T34" s="122"/>
      <c r="U34" s="122"/>
      <c r="V34" s="122"/>
    </row>
    <row r="35" spans="1:22" s="69" customFormat="1">
      <c r="A35" s="109" t="s">
        <v>94</v>
      </c>
      <c r="B35" s="66" t="s">
        <v>93</v>
      </c>
      <c r="C35" s="65">
        <v>2726</v>
      </c>
      <c r="D35" s="65">
        <v>2168</v>
      </c>
      <c r="E35" s="65">
        <v>558</v>
      </c>
      <c r="F35" s="65">
        <f>VLOOKUP($B35,'DT CHI 2023'!$B$10:$M$44,10,0)</f>
        <v>1717.607</v>
      </c>
      <c r="G35" s="65">
        <f>VLOOKUP($B35,'DT CHI 2023'!$B$10:$M$44,11,0)</f>
        <v>1680.607</v>
      </c>
      <c r="H35" s="65">
        <f>VLOOKUP($B35,'DT CHI 2023'!$B$10:$M$44,12,0)</f>
        <v>37</v>
      </c>
      <c r="I35" s="65">
        <f t="shared" si="3"/>
        <v>561.39300000000003</v>
      </c>
      <c r="J35" s="65">
        <f>+D35-G35+M35+P35</f>
        <v>517.39300000000003</v>
      </c>
      <c r="K35" s="65">
        <f t="shared" si="12"/>
        <v>44</v>
      </c>
      <c r="L35" s="76"/>
      <c r="M35" s="76"/>
      <c r="N35" s="76"/>
      <c r="O35" s="122">
        <f t="shared" si="4"/>
        <v>0</v>
      </c>
      <c r="P35" s="76">
        <v>30</v>
      </c>
      <c r="R35" s="122">
        <f>+D35-G35</f>
        <v>487.39300000000003</v>
      </c>
      <c r="T35" s="122"/>
      <c r="U35" s="122"/>
      <c r="V35" s="122"/>
    </row>
    <row r="36" spans="1:22" s="69" customFormat="1" ht="21.95" customHeight="1">
      <c r="A36" s="109" t="s">
        <v>92</v>
      </c>
      <c r="B36" s="66" t="s">
        <v>91</v>
      </c>
      <c r="C36" s="65">
        <v>720000</v>
      </c>
      <c r="D36" s="65">
        <v>630000</v>
      </c>
      <c r="E36" s="65">
        <v>90000</v>
      </c>
      <c r="F36" s="65">
        <f>VLOOKUP($B36,'DT CHI 2023'!$B$10:$M$44,10,0)</f>
        <v>374120</v>
      </c>
      <c r="G36" s="65">
        <f>VLOOKUP($B36,'DT CHI 2023'!$B$10:$M$44,11,0)</f>
        <v>337120</v>
      </c>
      <c r="H36" s="65">
        <f>VLOOKUP($B36,'DT CHI 2023'!$B$10:$M$44,12,0)</f>
        <v>37000</v>
      </c>
      <c r="I36" s="65">
        <f t="shared" si="3"/>
        <v>723079.36496399995</v>
      </c>
      <c r="J36" s="65">
        <f>+D36-G36+M36+P36-53+130</f>
        <v>628561.48741900001</v>
      </c>
      <c r="K36" s="65">
        <f>E36-37000+Q36+804-3283-36-4372</f>
        <v>94517.877544999996</v>
      </c>
      <c r="L36" s="76"/>
      <c r="M36" s="76">
        <v>36860</v>
      </c>
      <c r="N36" s="76"/>
      <c r="O36" s="122">
        <f t="shared" si="4"/>
        <v>-77</v>
      </c>
      <c r="P36" s="76">
        <f>134625.0453+164119.442119</f>
        <v>298744.48741900001</v>
      </c>
      <c r="Q36" s="69">
        <v>48404.877545000003</v>
      </c>
      <c r="R36" s="122"/>
      <c r="T36" s="122"/>
      <c r="U36" s="122"/>
      <c r="V36" s="122"/>
    </row>
    <row r="37" spans="1:22" s="69" customFormat="1">
      <c r="A37" s="109" t="s">
        <v>90</v>
      </c>
      <c r="B37" s="66" t="s">
        <v>89</v>
      </c>
      <c r="C37" s="65">
        <v>29377</v>
      </c>
      <c r="D37" s="65">
        <v>25005</v>
      </c>
      <c r="E37" s="65">
        <v>4372</v>
      </c>
      <c r="F37" s="65">
        <f>VLOOKUP($B37,'DT CHI 2023'!$B$10:$M$44,10,0)</f>
        <v>2880</v>
      </c>
      <c r="G37" s="65">
        <f>VLOOKUP($B37,'DT CHI 2023'!$B$10:$M$44,11,0)</f>
        <v>2880</v>
      </c>
      <c r="H37" s="65">
        <f>VLOOKUP($B37,'DT CHI 2023'!$B$10:$M$44,12,0)</f>
        <v>0</v>
      </c>
      <c r="I37" s="65">
        <f t="shared" si="3"/>
        <v>26497</v>
      </c>
      <c r="J37" s="65">
        <f>25005-G37</f>
        <v>22125</v>
      </c>
      <c r="K37" s="65">
        <v>4372</v>
      </c>
      <c r="L37" s="76"/>
      <c r="M37" s="76"/>
      <c r="N37" s="76"/>
      <c r="O37" s="122">
        <f t="shared" si="4"/>
        <v>0</v>
      </c>
      <c r="P37" s="76"/>
      <c r="R37" s="122"/>
      <c r="T37" s="122"/>
      <c r="U37" s="122"/>
      <c r="V37" s="122"/>
    </row>
    <row r="38" spans="1:22" s="69" customFormat="1">
      <c r="A38" s="109" t="s">
        <v>88</v>
      </c>
      <c r="B38" s="66" t="s">
        <v>87</v>
      </c>
      <c r="C38" s="65">
        <v>3900</v>
      </c>
      <c r="D38" s="65">
        <v>3900</v>
      </c>
      <c r="E38" s="65"/>
      <c r="F38" s="65">
        <f>VLOOKUP($B38,'DT CHI 2023'!$B$10:$M$44,10,0)</f>
        <v>3900</v>
      </c>
      <c r="G38" s="65">
        <f>VLOOKUP($B38,'DT CHI 2023'!$B$10:$M$44,11,0)</f>
        <v>3900</v>
      </c>
      <c r="H38" s="65">
        <f>VLOOKUP($B38,'DT CHI 2023'!$B$10:$M$44,12,0)</f>
        <v>0</v>
      </c>
      <c r="I38" s="65">
        <f t="shared" si="3"/>
        <v>0</v>
      </c>
      <c r="J38" s="65">
        <f t="shared" si="8"/>
        <v>0</v>
      </c>
      <c r="K38" s="65">
        <f t="shared" si="12"/>
        <v>0</v>
      </c>
      <c r="L38" s="76"/>
      <c r="M38" s="76"/>
      <c r="N38" s="76"/>
      <c r="O38" s="122">
        <f t="shared" si="4"/>
        <v>0</v>
      </c>
      <c r="P38" s="76"/>
      <c r="R38" s="122"/>
      <c r="T38" s="122"/>
      <c r="U38" s="122"/>
      <c r="V38" s="122"/>
    </row>
    <row r="39" spans="1:22" s="69" customFormat="1">
      <c r="A39" s="68" t="s">
        <v>86</v>
      </c>
      <c r="B39" s="67" t="s">
        <v>85</v>
      </c>
      <c r="C39" s="65">
        <v>13427</v>
      </c>
      <c r="D39" s="65">
        <v>11372</v>
      </c>
      <c r="E39" s="65">
        <v>2055</v>
      </c>
      <c r="F39" s="65">
        <f>VLOOKUP($B39,'DT CHI 2023'!$B$10:$M$44,10,0)</f>
        <v>0</v>
      </c>
      <c r="G39" s="65">
        <f>VLOOKUP($B39,'DT CHI 2023'!$B$10:$M$44,11,0)</f>
        <v>0</v>
      </c>
      <c r="H39" s="65">
        <f>VLOOKUP($B39,'DT CHI 2023'!$B$10:$M$44,12,0)</f>
        <v>0</v>
      </c>
      <c r="I39" s="65">
        <f t="shared" si="3"/>
        <v>175860.29554200001</v>
      </c>
      <c r="J39" s="65">
        <f>+D39-G39+M39+P39</f>
        <v>156723.4258</v>
      </c>
      <c r="K39" s="65">
        <f>2055+Q39+1805</f>
        <v>19136.869742000003</v>
      </c>
      <c r="L39" s="76"/>
      <c r="M39" s="76"/>
      <c r="N39" s="76"/>
      <c r="O39" s="122">
        <f t="shared" si="4"/>
        <v>0</v>
      </c>
      <c r="P39" s="76">
        <v>145351.4258</v>
      </c>
      <c r="Q39" s="69">
        <f>15389.869742-113</f>
        <v>15276.869742000001</v>
      </c>
      <c r="R39" s="122"/>
      <c r="T39" s="122"/>
      <c r="U39" s="122"/>
      <c r="V39" s="122"/>
    </row>
    <row r="40" spans="1:22">
      <c r="A40" s="68" t="s">
        <v>84</v>
      </c>
      <c r="B40" s="67" t="s">
        <v>83</v>
      </c>
      <c r="C40" s="65">
        <v>38373</v>
      </c>
      <c r="D40" s="65">
        <v>18068</v>
      </c>
      <c r="E40" s="65">
        <v>20305</v>
      </c>
      <c r="F40" s="65">
        <f>VLOOKUP($B40,'DT CHI 2023'!$B$10:$M$44,10,0)</f>
        <v>68924</v>
      </c>
      <c r="G40" s="65">
        <f>VLOOKUP($B40,'DT CHI 2023'!$B$10:$M$44,11,0)</f>
        <v>58771</v>
      </c>
      <c r="H40" s="65">
        <f>VLOOKUP($B40,'DT CHI 2023'!$B$10:$M$44,12,0)</f>
        <v>10153</v>
      </c>
      <c r="I40" s="118">
        <f t="shared" ref="I40:J40" si="13">SUM(I41:I43)</f>
        <v>95665</v>
      </c>
      <c r="J40" s="118">
        <f t="shared" si="13"/>
        <v>81175</v>
      </c>
      <c r="K40" s="118">
        <f t="shared" ref="K40" si="14">SUM(K41:K43)</f>
        <v>14490</v>
      </c>
      <c r="L40" s="118">
        <f t="shared" ref="L40" si="15">SUM(L41:L43)</f>
        <v>0</v>
      </c>
      <c r="M40" s="118">
        <f t="shared" ref="M40" si="16">SUM(M41:M43)</f>
        <v>121878</v>
      </c>
      <c r="O40" s="122">
        <f t="shared" si="4"/>
        <v>0</v>
      </c>
      <c r="R40" s="122"/>
      <c r="T40" s="122"/>
      <c r="U40" s="122"/>
      <c r="V40" s="122"/>
    </row>
    <row r="41" spans="1:22">
      <c r="A41" s="64">
        <v>1</v>
      </c>
      <c r="B41" s="63" t="s">
        <v>82</v>
      </c>
      <c r="C41" s="62">
        <v>19717</v>
      </c>
      <c r="D41" s="62">
        <v>8740</v>
      </c>
      <c r="E41" s="62">
        <v>10977</v>
      </c>
      <c r="F41" s="62">
        <f>VLOOKUP($B41,'DT CHI 2023'!$B$10:$M$44,10,0)</f>
        <v>59596</v>
      </c>
      <c r="G41" s="62">
        <f>VLOOKUP($B41,'DT CHI 2023'!$B$10:$M$44,11,0)</f>
        <v>54107</v>
      </c>
      <c r="H41" s="62">
        <f>VLOOKUP($B41,'DT CHI 2023'!$B$10:$M$44,12,0)</f>
        <v>5489</v>
      </c>
      <c r="I41" s="121">
        <f t="shared" ref="I41:I44" si="17">SUM(J41:K41)</f>
        <v>86337</v>
      </c>
      <c r="J41" s="62">
        <f>+D41+M41-G41</f>
        <v>76511</v>
      </c>
      <c r="K41" s="62">
        <f>+'NV 6 tháng cuối năm'!K26</f>
        <v>9826</v>
      </c>
      <c r="M41" s="60">
        <v>121878</v>
      </c>
      <c r="O41" s="122">
        <f t="shared" si="4"/>
        <v>0</v>
      </c>
      <c r="R41" s="122"/>
      <c r="T41" s="122"/>
      <c r="U41" s="122"/>
      <c r="V41" s="122"/>
    </row>
    <row r="42" spans="1:22">
      <c r="A42" s="64">
        <v>2</v>
      </c>
      <c r="B42" s="63" t="s">
        <v>81</v>
      </c>
      <c r="C42" s="62">
        <v>9328</v>
      </c>
      <c r="D42" s="62">
        <v>9328</v>
      </c>
      <c r="E42" s="62"/>
      <c r="F42" s="62">
        <f>VLOOKUP($B42,'DT CHI 2023'!$B$10:$M$44,10,0)</f>
        <v>4664</v>
      </c>
      <c r="G42" s="62">
        <f>VLOOKUP($B42,'DT CHI 2023'!$B$10:$M$44,11,0)</f>
        <v>4664</v>
      </c>
      <c r="H42" s="62">
        <f>VLOOKUP($B42,'DT CHI 2023'!$B$10:$M$44,12,0)</f>
        <v>0</v>
      </c>
      <c r="I42" s="118">
        <f t="shared" si="17"/>
        <v>4664</v>
      </c>
      <c r="J42" s="62">
        <f>+G42</f>
        <v>4664</v>
      </c>
      <c r="K42" s="63"/>
      <c r="O42" s="122">
        <f t="shared" si="4"/>
        <v>0</v>
      </c>
      <c r="R42" s="122"/>
      <c r="T42" s="122"/>
      <c r="U42" s="122"/>
      <c r="V42" s="122"/>
    </row>
    <row r="43" spans="1:22">
      <c r="A43" s="64">
        <v>3</v>
      </c>
      <c r="B43" s="63" t="s">
        <v>80</v>
      </c>
      <c r="C43" s="62">
        <v>9328</v>
      </c>
      <c r="D43" s="62">
        <v>0</v>
      </c>
      <c r="E43" s="62">
        <v>9328</v>
      </c>
      <c r="F43" s="62">
        <f>VLOOKUP($B43,'DT CHI 2023'!$B$10:$M$44,10,0)</f>
        <v>4664</v>
      </c>
      <c r="G43" s="62">
        <f>VLOOKUP($B43,'DT CHI 2023'!$B$10:$M$44,11,0)</f>
        <v>0</v>
      </c>
      <c r="H43" s="62">
        <f>VLOOKUP($B43,'DT CHI 2023'!$B$10:$M$44,12,0)</f>
        <v>4664</v>
      </c>
      <c r="I43" s="118">
        <f t="shared" si="17"/>
        <v>4664</v>
      </c>
      <c r="J43" s="62"/>
      <c r="K43" s="62">
        <f>+'DT THU 2023'!M27</f>
        <v>4664</v>
      </c>
      <c r="O43" s="122">
        <f t="shared" si="4"/>
        <v>0</v>
      </c>
      <c r="R43" s="122"/>
      <c r="T43" s="122"/>
      <c r="U43" s="122"/>
      <c r="V43" s="122"/>
    </row>
    <row r="44" spans="1:22" s="69" customFormat="1">
      <c r="A44" s="104" t="s">
        <v>144</v>
      </c>
      <c r="B44" s="105" t="s">
        <v>145</v>
      </c>
      <c r="C44" s="65"/>
      <c r="D44" s="65"/>
      <c r="E44" s="65"/>
      <c r="F44" s="65">
        <f>VLOOKUP($B44,'DT CHI 2023'!$B$10:$M$44,10,0)</f>
        <v>36</v>
      </c>
      <c r="G44" s="65">
        <f>VLOOKUP($B44,'DT CHI 2023'!$B$10:$M$44,11,0)</f>
        <v>0</v>
      </c>
      <c r="H44" s="65">
        <f>VLOOKUP($B44,'DT CHI 2023'!$B$10:$M$44,10,0)</f>
        <v>36</v>
      </c>
      <c r="I44" s="65">
        <f t="shared" si="17"/>
        <v>4864.5816860000004</v>
      </c>
      <c r="J44" s="65">
        <f>+P44</f>
        <v>4864.5816860000004</v>
      </c>
      <c r="K44" s="65"/>
      <c r="L44" s="76"/>
      <c r="M44" s="76"/>
      <c r="N44" s="76"/>
      <c r="O44" s="122">
        <f t="shared" si="4"/>
        <v>0</v>
      </c>
      <c r="P44" s="76">
        <v>4864.5816860000004</v>
      </c>
      <c r="R44" s="122"/>
      <c r="T44" s="122"/>
      <c r="U44" s="122"/>
      <c r="V44" s="122"/>
    </row>
    <row r="45" spans="1:22" ht="28.5" customHeight="1"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O45" s="122">
        <f t="shared" si="4"/>
        <v>0</v>
      </c>
      <c r="R45" s="122"/>
    </row>
  </sheetData>
  <mergeCells count="14">
    <mergeCell ref="A1:K1"/>
    <mergeCell ref="A3:K3"/>
    <mergeCell ref="B45:K45"/>
    <mergeCell ref="A2:E2"/>
    <mergeCell ref="A4:E4"/>
    <mergeCell ref="A6:A7"/>
    <mergeCell ref="B6:B7"/>
    <mergeCell ref="C6:E6"/>
    <mergeCell ref="M6:N6"/>
    <mergeCell ref="O6:O7"/>
    <mergeCell ref="P6:Q6"/>
    <mergeCell ref="F6:H6"/>
    <mergeCell ref="I6:K6"/>
    <mergeCell ref="L6:L7"/>
  </mergeCells>
  <pageMargins left="0.48" right="0.46" top="0.9" bottom="0.48" header="0.3" footer="0.71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workbookViewId="0">
      <selection activeCell="A2" sqref="A2:G2"/>
    </sheetView>
  </sheetViews>
  <sheetFormatPr defaultRowHeight="15.75"/>
  <cols>
    <col min="1" max="1" width="6.5546875" style="92" customWidth="1"/>
    <col min="2" max="2" width="14" style="91" customWidth="1"/>
    <col min="3" max="3" width="11.44140625" style="91" bestFit="1" customWidth="1"/>
    <col min="4" max="4" width="9.6640625" style="91" customWidth="1"/>
    <col min="5" max="5" width="8.88671875" style="91" customWidth="1"/>
    <col min="6" max="6" width="8" style="91" customWidth="1"/>
    <col min="7" max="7" width="10.44140625" style="91" bestFit="1" customWidth="1"/>
    <col min="8" max="16384" width="8.88671875" style="91"/>
  </cols>
  <sheetData>
    <row r="1" spans="1:7" ht="35.25" customHeight="1">
      <c r="A1" s="264" t="s">
        <v>137</v>
      </c>
      <c r="B1" s="264"/>
      <c r="C1" s="264"/>
      <c r="D1" s="264"/>
      <c r="E1" s="264"/>
      <c r="F1" s="264"/>
      <c r="G1" s="264"/>
    </row>
    <row r="2" spans="1:7" ht="35.25" customHeight="1">
      <c r="A2" s="267" t="str">
        <f>+'DT THU 2023'!A3</f>
        <v>(Kèm theo Báo cáo số             /BC-UBND ngày      /7   /2023 của UBND huyện)</v>
      </c>
      <c r="B2" s="267"/>
      <c r="C2" s="267"/>
      <c r="D2" s="267"/>
      <c r="E2" s="267"/>
      <c r="F2" s="267"/>
      <c r="G2" s="267"/>
    </row>
    <row r="3" spans="1:7" ht="18.75" customHeight="1">
      <c r="F3" s="266" t="s">
        <v>26</v>
      </c>
      <c r="G3" s="266"/>
    </row>
    <row r="4" spans="1:7" ht="18.75" customHeight="1">
      <c r="A4" s="265" t="s">
        <v>25</v>
      </c>
      <c r="B4" s="265" t="s">
        <v>53</v>
      </c>
      <c r="C4" s="265" t="s">
        <v>138</v>
      </c>
      <c r="D4" s="268" t="s">
        <v>126</v>
      </c>
      <c r="E4" s="269"/>
      <c r="F4" s="269"/>
      <c r="G4" s="270"/>
    </row>
    <row r="5" spans="1:7">
      <c r="A5" s="265"/>
      <c r="B5" s="265"/>
      <c r="C5" s="265"/>
      <c r="D5" s="93" t="s">
        <v>50</v>
      </c>
      <c r="E5" s="94" t="s">
        <v>52</v>
      </c>
      <c r="F5" s="94" t="s">
        <v>19</v>
      </c>
      <c r="G5" s="94" t="s">
        <v>51</v>
      </c>
    </row>
    <row r="6" spans="1:7" ht="23.25" customHeight="1">
      <c r="A6" s="94"/>
      <c r="B6" s="95" t="s">
        <v>50</v>
      </c>
      <c r="C6" s="96">
        <f>SUM(C7:C28)</f>
        <v>900000</v>
      </c>
      <c r="D6" s="97">
        <f>SUM(D7:D28)</f>
        <v>401535.96195199998</v>
      </c>
      <c r="E6" s="97">
        <f t="shared" ref="E6:G6" si="0">SUM(E7:E28)</f>
        <v>80827.192390400014</v>
      </c>
      <c r="F6" s="97">
        <f t="shared" si="0"/>
        <v>280555.17336639995</v>
      </c>
      <c r="G6" s="97">
        <f t="shared" si="0"/>
        <v>40153.596195200007</v>
      </c>
    </row>
    <row r="7" spans="1:7" ht="23.25" customHeight="1">
      <c r="A7" s="94">
        <v>1</v>
      </c>
      <c r="B7" s="98" t="s">
        <v>49</v>
      </c>
      <c r="C7" s="99">
        <v>12000</v>
      </c>
      <c r="D7" s="99">
        <v>13189.65</v>
      </c>
      <c r="E7" s="99">
        <f t="shared" ref="E7:E28" si="1">+D7*0.2</f>
        <v>2637.9300000000003</v>
      </c>
      <c r="F7" s="100">
        <f t="shared" ref="F7:F28" si="2">+D7-E7-G7</f>
        <v>9232.7549999999992</v>
      </c>
      <c r="G7" s="99">
        <f t="shared" ref="G7:G28" si="3">+D7*0.1</f>
        <v>1318.9650000000001</v>
      </c>
    </row>
    <row r="8" spans="1:7" ht="23.25" customHeight="1">
      <c r="A8" s="94">
        <v>2</v>
      </c>
      <c r="B8" s="98" t="s">
        <v>48</v>
      </c>
      <c r="C8" s="99">
        <v>56000</v>
      </c>
      <c r="D8" s="99">
        <v>114.61750000000001</v>
      </c>
      <c r="E8" s="99">
        <f t="shared" si="1"/>
        <v>22.923500000000004</v>
      </c>
      <c r="F8" s="100">
        <f t="shared" si="2"/>
        <v>80.232249999999993</v>
      </c>
      <c r="G8" s="99">
        <f t="shared" si="3"/>
        <v>11.461750000000002</v>
      </c>
    </row>
    <row r="9" spans="1:7" ht="23.25" customHeight="1">
      <c r="A9" s="94">
        <v>3</v>
      </c>
      <c r="B9" s="98" t="s">
        <v>47</v>
      </c>
      <c r="C9" s="99">
        <v>36000</v>
      </c>
      <c r="D9" s="99">
        <v>68.400000000000006</v>
      </c>
      <c r="E9" s="99">
        <f t="shared" si="1"/>
        <v>13.680000000000001</v>
      </c>
      <c r="F9" s="100">
        <f t="shared" si="2"/>
        <v>47.88</v>
      </c>
      <c r="G9" s="99">
        <f t="shared" si="3"/>
        <v>6.8400000000000007</v>
      </c>
    </row>
    <row r="10" spans="1:7" ht="23.25" customHeight="1">
      <c r="A10" s="94">
        <v>4</v>
      </c>
      <c r="B10" s="98" t="s">
        <v>46</v>
      </c>
      <c r="C10" s="99">
        <v>42000</v>
      </c>
      <c r="D10" s="99">
        <v>17259.324000000001</v>
      </c>
      <c r="E10" s="99">
        <f t="shared" si="1"/>
        <v>3451.8648000000003</v>
      </c>
      <c r="F10" s="100">
        <f t="shared" si="2"/>
        <v>12081.526800000001</v>
      </c>
      <c r="G10" s="99">
        <f t="shared" si="3"/>
        <v>1725.9324000000001</v>
      </c>
    </row>
    <row r="11" spans="1:7" ht="23.25" customHeight="1">
      <c r="A11" s="94">
        <v>5</v>
      </c>
      <c r="B11" s="98" t="s">
        <v>45</v>
      </c>
      <c r="C11" s="99">
        <v>10000</v>
      </c>
      <c r="D11" s="99">
        <v>5526.62</v>
      </c>
      <c r="E11" s="99">
        <f t="shared" si="1"/>
        <v>1105.3240000000001</v>
      </c>
      <c r="F11" s="100">
        <f t="shared" si="2"/>
        <v>3868.634</v>
      </c>
      <c r="G11" s="99">
        <f t="shared" si="3"/>
        <v>552.66200000000003</v>
      </c>
    </row>
    <row r="12" spans="1:7" ht="23.25" customHeight="1">
      <c r="A12" s="94">
        <v>6</v>
      </c>
      <c r="B12" s="98" t="s">
        <v>44</v>
      </c>
      <c r="C12" s="99">
        <v>12000</v>
      </c>
      <c r="D12" s="99">
        <v>4843.75</v>
      </c>
      <c r="E12" s="99">
        <f t="shared" si="1"/>
        <v>968.75</v>
      </c>
      <c r="F12" s="100">
        <f t="shared" si="2"/>
        <v>3390.625</v>
      </c>
      <c r="G12" s="99">
        <f t="shared" si="3"/>
        <v>484.375</v>
      </c>
    </row>
    <row r="13" spans="1:7" ht="23.25" customHeight="1">
      <c r="A13" s="94">
        <v>7</v>
      </c>
      <c r="B13" s="98" t="s">
        <v>43</v>
      </c>
      <c r="C13" s="99">
        <v>47000</v>
      </c>
      <c r="D13" s="99">
        <v>41099.614800000003</v>
      </c>
      <c r="E13" s="99">
        <f t="shared" si="1"/>
        <v>8219.9229600000017</v>
      </c>
      <c r="F13" s="100">
        <f t="shared" si="2"/>
        <v>28769.730359999998</v>
      </c>
      <c r="G13" s="99">
        <f t="shared" si="3"/>
        <v>4109.9614800000008</v>
      </c>
    </row>
    <row r="14" spans="1:7" ht="23.25" customHeight="1">
      <c r="A14" s="94">
        <v>8</v>
      </c>
      <c r="B14" s="98" t="s">
        <v>42</v>
      </c>
      <c r="C14" s="99">
        <v>52000</v>
      </c>
      <c r="D14" s="99">
        <v>101.06</v>
      </c>
      <c r="E14" s="99">
        <f t="shared" si="1"/>
        <v>20.212000000000003</v>
      </c>
      <c r="F14" s="100">
        <f t="shared" si="2"/>
        <v>70.74199999999999</v>
      </c>
      <c r="G14" s="99">
        <f t="shared" si="3"/>
        <v>10.106000000000002</v>
      </c>
    </row>
    <row r="15" spans="1:7" ht="23.25" customHeight="1">
      <c r="A15" s="94">
        <v>9</v>
      </c>
      <c r="B15" s="98" t="s">
        <v>41</v>
      </c>
      <c r="C15" s="99">
        <v>19000</v>
      </c>
      <c r="D15" s="99">
        <v>2023.25</v>
      </c>
      <c r="E15" s="99">
        <f t="shared" si="1"/>
        <v>404.65000000000003</v>
      </c>
      <c r="F15" s="100">
        <f t="shared" si="2"/>
        <v>1416.2749999999999</v>
      </c>
      <c r="G15" s="99">
        <f t="shared" si="3"/>
        <v>202.32500000000002</v>
      </c>
    </row>
    <row r="16" spans="1:7" ht="23.25" customHeight="1">
      <c r="A16" s="94">
        <v>10</v>
      </c>
      <c r="B16" s="98" t="s">
        <v>40</v>
      </c>
      <c r="C16" s="99">
        <v>47000</v>
      </c>
      <c r="D16" s="99">
        <v>46500.006999999998</v>
      </c>
      <c r="E16" s="99">
        <f t="shared" si="1"/>
        <v>9300.0013999999992</v>
      </c>
      <c r="F16" s="100">
        <f t="shared" si="2"/>
        <v>32550.004899999996</v>
      </c>
      <c r="G16" s="99">
        <f t="shared" si="3"/>
        <v>4650.0006999999996</v>
      </c>
    </row>
    <row r="17" spans="1:7" ht="23.25" customHeight="1">
      <c r="A17" s="94">
        <v>11</v>
      </c>
      <c r="B17" s="98" t="s">
        <v>39</v>
      </c>
      <c r="C17" s="99">
        <v>34000</v>
      </c>
      <c r="D17" s="99">
        <v>16430.231</v>
      </c>
      <c r="E17" s="99">
        <f t="shared" si="1"/>
        <v>3286.0462000000002</v>
      </c>
      <c r="F17" s="100">
        <f t="shared" si="2"/>
        <v>11501.161699999999</v>
      </c>
      <c r="G17" s="99">
        <f t="shared" si="3"/>
        <v>1643.0231000000001</v>
      </c>
    </row>
    <row r="18" spans="1:7" ht="23.25" customHeight="1">
      <c r="A18" s="94">
        <v>12</v>
      </c>
      <c r="B18" s="98" t="s">
        <v>38</v>
      </c>
      <c r="C18" s="99">
        <v>20000</v>
      </c>
      <c r="D18" s="99"/>
      <c r="E18" s="99">
        <f t="shared" si="1"/>
        <v>0</v>
      </c>
      <c r="F18" s="100">
        <f t="shared" si="2"/>
        <v>0</v>
      </c>
      <c r="G18" s="99">
        <f t="shared" si="3"/>
        <v>0</v>
      </c>
    </row>
    <row r="19" spans="1:7" ht="23.25" customHeight="1">
      <c r="A19" s="94">
        <v>13</v>
      </c>
      <c r="B19" s="98" t="s">
        <v>37</v>
      </c>
      <c r="C19" s="99">
        <v>30000</v>
      </c>
      <c r="D19" s="99">
        <v>34075.853000000003</v>
      </c>
      <c r="E19" s="99">
        <f t="shared" si="1"/>
        <v>6815.1706000000013</v>
      </c>
      <c r="F19" s="100">
        <f t="shared" si="2"/>
        <v>23853.097099999999</v>
      </c>
      <c r="G19" s="99">
        <f t="shared" si="3"/>
        <v>3407.5853000000006</v>
      </c>
    </row>
    <row r="20" spans="1:7" ht="23.25" customHeight="1">
      <c r="A20" s="94">
        <v>14</v>
      </c>
      <c r="B20" s="98" t="s">
        <v>36</v>
      </c>
      <c r="C20" s="99">
        <v>37000</v>
      </c>
      <c r="D20" s="99">
        <v>655.52499999999998</v>
      </c>
      <c r="E20" s="99">
        <f t="shared" si="1"/>
        <v>131.10499999999999</v>
      </c>
      <c r="F20" s="100">
        <f t="shared" si="2"/>
        <v>458.86749999999995</v>
      </c>
      <c r="G20" s="99">
        <f t="shared" si="3"/>
        <v>65.552499999999995</v>
      </c>
    </row>
    <row r="21" spans="1:7" ht="23.25" customHeight="1">
      <c r="A21" s="94">
        <v>15</v>
      </c>
      <c r="B21" s="98" t="s">
        <v>35</v>
      </c>
      <c r="C21" s="99">
        <v>49000</v>
      </c>
      <c r="D21" s="99">
        <v>6909</v>
      </c>
      <c r="E21" s="99">
        <f t="shared" si="1"/>
        <v>1381.8000000000002</v>
      </c>
      <c r="F21" s="100">
        <f t="shared" si="2"/>
        <v>4836.2999999999993</v>
      </c>
      <c r="G21" s="99">
        <f t="shared" si="3"/>
        <v>690.90000000000009</v>
      </c>
    </row>
    <row r="22" spans="1:7" ht="23.25" customHeight="1">
      <c r="A22" s="94">
        <v>16</v>
      </c>
      <c r="B22" s="98" t="s">
        <v>34</v>
      </c>
      <c r="C22" s="99">
        <v>21000</v>
      </c>
      <c r="D22" s="99"/>
      <c r="E22" s="99">
        <f t="shared" si="1"/>
        <v>0</v>
      </c>
      <c r="F22" s="100">
        <f t="shared" si="2"/>
        <v>0</v>
      </c>
      <c r="G22" s="99">
        <f t="shared" si="3"/>
        <v>0</v>
      </c>
    </row>
    <row r="23" spans="1:7" ht="23.25" customHeight="1">
      <c r="A23" s="94">
        <v>17</v>
      </c>
      <c r="B23" s="98" t="s">
        <v>33</v>
      </c>
      <c r="C23" s="99">
        <v>34000</v>
      </c>
      <c r="D23" s="99">
        <v>18021.739239999999</v>
      </c>
      <c r="E23" s="99">
        <f t="shared" si="1"/>
        <v>3604.3478479999999</v>
      </c>
      <c r="F23" s="100">
        <f t="shared" si="2"/>
        <v>12615.217467999999</v>
      </c>
      <c r="G23" s="99">
        <f t="shared" si="3"/>
        <v>1802.1739239999999</v>
      </c>
    </row>
    <row r="24" spans="1:7" ht="23.25" customHeight="1">
      <c r="A24" s="94">
        <v>18</v>
      </c>
      <c r="B24" s="98" t="s">
        <v>32</v>
      </c>
      <c r="C24" s="99">
        <v>14000</v>
      </c>
      <c r="D24" s="99"/>
      <c r="E24" s="99">
        <f t="shared" si="1"/>
        <v>0</v>
      </c>
      <c r="F24" s="100">
        <f t="shared" si="2"/>
        <v>0</v>
      </c>
      <c r="G24" s="99">
        <f t="shared" si="3"/>
        <v>0</v>
      </c>
    </row>
    <row r="25" spans="1:7" ht="23.25" customHeight="1">
      <c r="A25" s="94">
        <v>19</v>
      </c>
      <c r="B25" s="98" t="s">
        <v>31</v>
      </c>
      <c r="C25" s="99">
        <v>191000</v>
      </c>
      <c r="D25" s="99">
        <v>136357.24729999999</v>
      </c>
      <c r="E25" s="99">
        <f>+(D25-5000)*0.2+5000*0.3+20</f>
        <v>27791.44946</v>
      </c>
      <c r="F25" s="100">
        <f t="shared" si="2"/>
        <v>94930.073109999983</v>
      </c>
      <c r="G25" s="99">
        <f t="shared" si="3"/>
        <v>13635.72473</v>
      </c>
    </row>
    <row r="26" spans="1:7" ht="23.25" customHeight="1">
      <c r="A26" s="94">
        <v>20</v>
      </c>
      <c r="B26" s="98" t="s">
        <v>30</v>
      </c>
      <c r="C26" s="99">
        <v>32000</v>
      </c>
      <c r="D26" s="99">
        <v>46364.854112000001</v>
      </c>
      <c r="E26" s="99">
        <f t="shared" si="1"/>
        <v>9272.9708224000005</v>
      </c>
      <c r="F26" s="100">
        <f t="shared" si="2"/>
        <v>32455.397878400003</v>
      </c>
      <c r="G26" s="99">
        <f t="shared" si="3"/>
        <v>4636.4854112000003</v>
      </c>
    </row>
    <row r="27" spans="1:7" ht="23.25" customHeight="1">
      <c r="A27" s="94">
        <v>21</v>
      </c>
      <c r="B27" s="98" t="s">
        <v>29</v>
      </c>
      <c r="C27" s="99">
        <v>80000</v>
      </c>
      <c r="D27" s="99">
        <v>10274.218999999999</v>
      </c>
      <c r="E27" s="99">
        <f t="shared" si="1"/>
        <v>2054.8438000000001</v>
      </c>
      <c r="F27" s="100">
        <f t="shared" si="2"/>
        <v>7191.9532999999983</v>
      </c>
      <c r="G27" s="99">
        <f t="shared" si="3"/>
        <v>1027.4219000000001</v>
      </c>
    </row>
    <row r="28" spans="1:7" ht="23.25" customHeight="1">
      <c r="A28" s="94">
        <v>22</v>
      </c>
      <c r="B28" s="98" t="s">
        <v>28</v>
      </c>
      <c r="C28" s="99">
        <v>25000</v>
      </c>
      <c r="D28" s="99">
        <v>1721</v>
      </c>
      <c r="E28" s="99">
        <f t="shared" si="1"/>
        <v>344.20000000000005</v>
      </c>
      <c r="F28" s="100">
        <f t="shared" si="2"/>
        <v>1204.6999999999998</v>
      </c>
      <c r="G28" s="99">
        <f t="shared" si="3"/>
        <v>172.10000000000002</v>
      </c>
    </row>
  </sheetData>
  <mergeCells count="7">
    <mergeCell ref="A1:G1"/>
    <mergeCell ref="A4:A5"/>
    <mergeCell ref="B4:B5"/>
    <mergeCell ref="C4:C5"/>
    <mergeCell ref="F3:G3"/>
    <mergeCell ref="A2:G2"/>
    <mergeCell ref="D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0" zoomScaleNormal="70" workbookViewId="0">
      <pane xSplit="2" ySplit="6" topLeftCell="C13" activePane="bottomRight" state="frozen"/>
      <selection activeCell="D7" sqref="D7:F7"/>
      <selection pane="topRight" activeCell="D7" sqref="D7:F7"/>
      <selection pane="bottomLeft" activeCell="D7" sqref="D7:F7"/>
      <selection pane="bottomRight" activeCell="G26" sqref="G26"/>
    </sheetView>
  </sheetViews>
  <sheetFormatPr defaultRowHeight="18.75"/>
  <cols>
    <col min="1" max="1" width="5.21875" style="25" customWidth="1"/>
    <col min="2" max="2" width="39.44140625" style="23" customWidth="1"/>
    <col min="3" max="3" width="12.77734375" style="24" customWidth="1"/>
    <col min="4" max="4" width="10.33203125" style="24" customWidth="1"/>
    <col min="5" max="5" width="10.21875" style="24" customWidth="1"/>
    <col min="6" max="6" width="11.21875" style="24" customWidth="1"/>
    <col min="7" max="7" width="10.88671875" style="24" customWidth="1"/>
    <col min="8" max="8" width="11.6640625" style="24" customWidth="1"/>
    <col min="9" max="9" width="25.21875" style="23" customWidth="1"/>
    <col min="10" max="16384" width="8.88671875" style="23"/>
  </cols>
  <sheetData>
    <row r="1" spans="1:9">
      <c r="D1" s="275" t="s">
        <v>79</v>
      </c>
      <c r="E1" s="275"/>
      <c r="F1" s="275"/>
      <c r="G1" s="275"/>
      <c r="H1" s="275"/>
      <c r="I1" s="275"/>
    </row>
    <row r="2" spans="1:9" ht="30" customHeight="1">
      <c r="A2" s="276" t="s">
        <v>78</v>
      </c>
      <c r="B2" s="276"/>
      <c r="C2" s="276"/>
      <c r="D2" s="276"/>
      <c r="E2" s="276"/>
      <c r="F2" s="276"/>
      <c r="G2" s="276"/>
      <c r="H2" s="276"/>
      <c r="I2" s="276"/>
    </row>
    <row r="3" spans="1:9">
      <c r="A3" s="277" t="str">
        <f>+'tien dat 2023'!A2</f>
        <v>(Kèm theo Báo cáo số             /BC-UBND ngày      /7   /2023 của UBND huyện)</v>
      </c>
      <c r="B3" s="277"/>
      <c r="C3" s="277"/>
      <c r="D3" s="277"/>
      <c r="E3" s="277"/>
      <c r="F3" s="277"/>
      <c r="G3" s="277"/>
      <c r="H3" s="277"/>
      <c r="I3" s="277"/>
    </row>
    <row r="4" spans="1:9">
      <c r="C4" s="58"/>
      <c r="D4" s="58"/>
      <c r="E4" s="58"/>
      <c r="F4" s="58"/>
      <c r="G4" s="58"/>
      <c r="H4" s="58"/>
      <c r="I4" s="57" t="s">
        <v>26</v>
      </c>
    </row>
    <row r="5" spans="1:9" s="55" customFormat="1" ht="71.25" customHeight="1">
      <c r="A5" s="273" t="s">
        <v>25</v>
      </c>
      <c r="B5" s="273" t="s">
        <v>77</v>
      </c>
      <c r="C5" s="278" t="s">
        <v>76</v>
      </c>
      <c r="D5" s="279"/>
      <c r="E5" s="271" t="s">
        <v>139</v>
      </c>
      <c r="F5" s="272"/>
      <c r="G5" s="271" t="s">
        <v>140</v>
      </c>
      <c r="H5" s="272"/>
      <c r="I5" s="273" t="s">
        <v>75</v>
      </c>
    </row>
    <row r="6" spans="1:9" s="55" customFormat="1" ht="66" customHeight="1">
      <c r="A6" s="274"/>
      <c r="B6" s="274"/>
      <c r="C6" s="56" t="s">
        <v>50</v>
      </c>
      <c r="D6" s="56" t="s">
        <v>74</v>
      </c>
      <c r="E6" s="56" t="s">
        <v>50</v>
      </c>
      <c r="F6" s="56" t="s">
        <v>74</v>
      </c>
      <c r="G6" s="56" t="s">
        <v>50</v>
      </c>
      <c r="H6" s="56" t="s">
        <v>74</v>
      </c>
      <c r="I6" s="274"/>
    </row>
    <row r="7" spans="1:9" s="46" customFormat="1" ht="29.25" customHeight="1">
      <c r="A7" s="54" t="s">
        <v>16</v>
      </c>
      <c r="B7" s="53" t="s">
        <v>73</v>
      </c>
      <c r="C7" s="52">
        <f>SUM(C8:C16)</f>
        <v>5000</v>
      </c>
      <c r="D7" s="52">
        <f>SUM(D8:D16)</f>
        <v>1757</v>
      </c>
      <c r="E7" s="52">
        <f t="shared" ref="E7:H7" si="0">SUM(E8:E16)</f>
        <v>5514</v>
      </c>
      <c r="F7" s="52">
        <f t="shared" si="0"/>
        <v>1687</v>
      </c>
      <c r="G7" s="52">
        <f t="shared" si="0"/>
        <v>6162</v>
      </c>
      <c r="H7" s="52">
        <f t="shared" si="0"/>
        <v>1796</v>
      </c>
      <c r="I7" s="51"/>
    </row>
    <row r="8" spans="1:9">
      <c r="A8" s="41"/>
      <c r="B8" s="40" t="s">
        <v>72</v>
      </c>
      <c r="C8" s="31">
        <v>100</v>
      </c>
      <c r="D8" s="31">
        <v>100</v>
      </c>
      <c r="E8" s="31">
        <v>11</v>
      </c>
      <c r="F8" s="31">
        <v>11</v>
      </c>
      <c r="G8" s="31">
        <f t="shared" ref="G8:H8" si="1">+E8</f>
        <v>11</v>
      </c>
      <c r="H8" s="31">
        <f t="shared" si="1"/>
        <v>11</v>
      </c>
      <c r="I8" s="30"/>
    </row>
    <row r="9" spans="1:9">
      <c r="A9" s="41"/>
      <c r="B9" s="40" t="s">
        <v>71</v>
      </c>
      <c r="C9" s="31">
        <v>15</v>
      </c>
      <c r="D9" s="31">
        <v>15</v>
      </c>
      <c r="E9" s="31">
        <v>2</v>
      </c>
      <c r="F9" s="31">
        <v>2</v>
      </c>
      <c r="G9" s="31">
        <f t="shared" ref="G9:H16" si="2">ROUND(E9/5*6,0)</f>
        <v>2</v>
      </c>
      <c r="H9" s="31">
        <f t="shared" si="2"/>
        <v>2</v>
      </c>
      <c r="I9" s="30"/>
    </row>
    <row r="10" spans="1:9">
      <c r="A10" s="41"/>
      <c r="B10" s="40" t="s">
        <v>70</v>
      </c>
      <c r="C10" s="31">
        <v>0</v>
      </c>
      <c r="D10" s="31">
        <v>0</v>
      </c>
      <c r="E10" s="31"/>
      <c r="F10" s="31"/>
      <c r="G10" s="31">
        <f t="shared" si="2"/>
        <v>0</v>
      </c>
      <c r="H10" s="31">
        <f t="shared" si="2"/>
        <v>0</v>
      </c>
      <c r="I10" s="30"/>
    </row>
    <row r="11" spans="1:9">
      <c r="A11" s="41"/>
      <c r="B11" s="40" t="s">
        <v>69</v>
      </c>
      <c r="C11" s="31">
        <v>40</v>
      </c>
      <c r="D11" s="31">
        <v>40</v>
      </c>
      <c r="E11" s="31">
        <v>5</v>
      </c>
      <c r="F11" s="31">
        <v>5</v>
      </c>
      <c r="G11" s="31">
        <f t="shared" si="2"/>
        <v>6</v>
      </c>
      <c r="H11" s="31">
        <f t="shared" si="2"/>
        <v>6</v>
      </c>
      <c r="I11" s="30"/>
    </row>
    <row r="12" spans="1:9">
      <c r="A12" s="41">
        <v>2</v>
      </c>
      <c r="B12" s="40" t="s">
        <v>68</v>
      </c>
      <c r="C12" s="31">
        <v>450</v>
      </c>
      <c r="D12" s="31">
        <v>60</v>
      </c>
      <c r="E12" s="31">
        <v>111</v>
      </c>
      <c r="F12" s="31">
        <v>46</v>
      </c>
      <c r="G12" s="31">
        <f t="shared" si="2"/>
        <v>133</v>
      </c>
      <c r="H12" s="31">
        <f t="shared" si="2"/>
        <v>55</v>
      </c>
      <c r="I12" s="30"/>
    </row>
    <row r="13" spans="1:9">
      <c r="A13" s="41">
        <v>3</v>
      </c>
      <c r="B13" s="40" t="s">
        <v>67</v>
      </c>
      <c r="C13" s="31">
        <v>1172</v>
      </c>
      <c r="D13" s="31">
        <v>586</v>
      </c>
      <c r="E13" s="31">
        <v>3228</v>
      </c>
      <c r="F13" s="31">
        <v>1614</v>
      </c>
      <c r="G13" s="31">
        <f>ROUND(E13/5*5.3,0)</f>
        <v>3422</v>
      </c>
      <c r="H13" s="31">
        <f>ROUND(F13/5*5.3,0)</f>
        <v>1711</v>
      </c>
      <c r="I13" s="30"/>
    </row>
    <row r="14" spans="1:9">
      <c r="A14" s="41">
        <v>4</v>
      </c>
      <c r="B14" s="40" t="s">
        <v>66</v>
      </c>
      <c r="C14" s="31">
        <v>576</v>
      </c>
      <c r="D14" s="31"/>
      <c r="E14" s="31">
        <v>441</v>
      </c>
      <c r="F14" s="31"/>
      <c r="G14" s="31">
        <f t="shared" si="2"/>
        <v>529</v>
      </c>
      <c r="H14" s="31">
        <f t="shared" si="2"/>
        <v>0</v>
      </c>
      <c r="I14" s="30"/>
    </row>
    <row r="15" spans="1:9">
      <c r="A15" s="41">
        <v>5</v>
      </c>
      <c r="B15" s="40" t="s">
        <v>65</v>
      </c>
      <c r="C15" s="31">
        <v>272</v>
      </c>
      <c r="D15" s="31"/>
      <c r="E15" s="31">
        <v>170</v>
      </c>
      <c r="F15" s="31"/>
      <c r="G15" s="31">
        <f t="shared" si="2"/>
        <v>204</v>
      </c>
      <c r="H15" s="31">
        <f t="shared" si="2"/>
        <v>0</v>
      </c>
      <c r="I15" s="30"/>
    </row>
    <row r="16" spans="1:9">
      <c r="A16" s="41">
        <v>6</v>
      </c>
      <c r="B16" s="40" t="s">
        <v>64</v>
      </c>
      <c r="C16" s="31">
        <v>2375</v>
      </c>
      <c r="D16" s="31">
        <v>956</v>
      </c>
      <c r="E16" s="31">
        <v>1546</v>
      </c>
      <c r="F16" s="31">
        <v>9</v>
      </c>
      <c r="G16" s="31">
        <f t="shared" si="2"/>
        <v>1855</v>
      </c>
      <c r="H16" s="31">
        <f t="shared" si="2"/>
        <v>11</v>
      </c>
      <c r="I16" s="30"/>
    </row>
    <row r="17" spans="1:9" s="46" customFormat="1">
      <c r="A17" s="50" t="s">
        <v>5</v>
      </c>
      <c r="B17" s="49" t="s">
        <v>8</v>
      </c>
      <c r="C17" s="48">
        <f>SUMIF($A$18:$A$23,"&gt;0",C18:C23)</f>
        <v>17000</v>
      </c>
      <c r="D17" s="48">
        <f>SUMIF($A$18:$A$23,"&gt;0",D18:D23)</f>
        <v>11000</v>
      </c>
      <c r="E17" s="48">
        <f t="shared" ref="E17:H17" si="3">SUMIF($A$18:$A$23,"&gt;0",E18:E23)</f>
        <v>8603</v>
      </c>
      <c r="F17" s="48">
        <f t="shared" si="3"/>
        <v>5015</v>
      </c>
      <c r="G17" s="48">
        <f t="shared" si="3"/>
        <v>9683</v>
      </c>
      <c r="H17" s="48">
        <f t="shared" si="3"/>
        <v>5440</v>
      </c>
      <c r="I17" s="47"/>
    </row>
    <row r="18" spans="1:9" ht="31.5">
      <c r="A18" s="41">
        <v>1</v>
      </c>
      <c r="B18" s="40" t="s">
        <v>63</v>
      </c>
      <c r="C18" s="31">
        <v>800</v>
      </c>
      <c r="D18" s="31">
        <v>800</v>
      </c>
      <c r="E18" s="31">
        <f>+F18</f>
        <v>671</v>
      </c>
      <c r="F18" s="31">
        <v>671</v>
      </c>
      <c r="G18" s="31">
        <f t="shared" ref="G18:G28" si="4">ROUND(E18/5*6,0)</f>
        <v>805</v>
      </c>
      <c r="H18" s="31">
        <f t="shared" ref="H18:H28" si="5">ROUND(F18/5*6,0)</f>
        <v>805</v>
      </c>
      <c r="I18" s="40"/>
    </row>
    <row r="19" spans="1:9">
      <c r="A19" s="41">
        <v>2</v>
      </c>
      <c r="B19" s="40" t="s">
        <v>62</v>
      </c>
      <c r="C19" s="31">
        <v>6000</v>
      </c>
      <c r="D19" s="31">
        <v>400</v>
      </c>
      <c r="E19" s="31">
        <f>+E20+F19-E21</f>
        <v>3127</v>
      </c>
      <c r="F19" s="31">
        <f>245-F21</f>
        <v>192.5</v>
      </c>
      <c r="G19" s="31">
        <f t="shared" si="4"/>
        <v>3752</v>
      </c>
      <c r="H19" s="31">
        <f t="shared" si="5"/>
        <v>231</v>
      </c>
      <c r="I19" s="30"/>
    </row>
    <row r="20" spans="1:9" s="42" customFormat="1">
      <c r="A20" s="45"/>
      <c r="B20" s="44" t="s">
        <v>61</v>
      </c>
      <c r="C20" s="31">
        <v>6000</v>
      </c>
      <c r="D20" s="31"/>
      <c r="E20" s="31">
        <v>2987</v>
      </c>
      <c r="F20" s="31"/>
      <c r="G20" s="31">
        <f t="shared" si="4"/>
        <v>3584</v>
      </c>
      <c r="H20" s="31">
        <f t="shared" si="5"/>
        <v>0</v>
      </c>
      <c r="I20" s="43"/>
    </row>
    <row r="21" spans="1:9" ht="31.5">
      <c r="A21" s="41">
        <v>3</v>
      </c>
      <c r="B21" s="40" t="s">
        <v>60</v>
      </c>
      <c r="C21" s="31">
        <v>250</v>
      </c>
      <c r="D21" s="31">
        <v>250</v>
      </c>
      <c r="E21" s="31">
        <v>52.5</v>
      </c>
      <c r="F21" s="31">
        <v>52.5</v>
      </c>
      <c r="G21" s="31">
        <f t="shared" si="4"/>
        <v>63</v>
      </c>
      <c r="H21" s="31">
        <f t="shared" si="5"/>
        <v>63</v>
      </c>
      <c r="I21" s="40"/>
    </row>
    <row r="22" spans="1:9">
      <c r="A22" s="41">
        <v>4</v>
      </c>
      <c r="B22" s="40" t="s">
        <v>59</v>
      </c>
      <c r="C22" s="31">
        <v>345</v>
      </c>
      <c r="D22" s="31">
        <v>345</v>
      </c>
      <c r="E22" s="31">
        <v>98</v>
      </c>
      <c r="F22" s="31">
        <v>98</v>
      </c>
      <c r="G22" s="31">
        <f t="shared" si="4"/>
        <v>118</v>
      </c>
      <c r="H22" s="31">
        <f t="shared" si="5"/>
        <v>118</v>
      </c>
      <c r="I22" s="40"/>
    </row>
    <row r="23" spans="1:9" ht="31.5">
      <c r="A23" s="39">
        <v>5</v>
      </c>
      <c r="B23" s="38" t="s">
        <v>58</v>
      </c>
      <c r="C23" s="27">
        <f>9570+35</f>
        <v>9605</v>
      </c>
      <c r="D23" s="27">
        <f>9180+25</f>
        <v>9205</v>
      </c>
      <c r="E23" s="27">
        <f t="shared" ref="E23:F23" si="6">SUM(E24:E28)</f>
        <v>4654.5</v>
      </c>
      <c r="F23" s="27">
        <f t="shared" si="6"/>
        <v>4001</v>
      </c>
      <c r="G23" s="27">
        <f t="shared" ref="G23" si="7">SUM(G24:G28)</f>
        <v>4945</v>
      </c>
      <c r="H23" s="27">
        <f t="shared" ref="H23" si="8">SUM(H24:H28)</f>
        <v>4223</v>
      </c>
      <c r="I23" s="26"/>
    </row>
    <row r="24" spans="1:9">
      <c r="A24" s="37"/>
      <c r="B24" s="36" t="s">
        <v>57</v>
      </c>
      <c r="C24" s="35"/>
      <c r="D24" s="35"/>
      <c r="E24" s="35">
        <v>91</v>
      </c>
      <c r="F24" s="35">
        <v>81</v>
      </c>
      <c r="G24" s="35">
        <f t="shared" si="4"/>
        <v>109</v>
      </c>
      <c r="H24" s="35">
        <f t="shared" si="5"/>
        <v>97</v>
      </c>
      <c r="I24" s="34"/>
    </row>
    <row r="25" spans="1:9">
      <c r="A25" s="33"/>
      <c r="B25" s="32" t="s">
        <v>56</v>
      </c>
      <c r="C25" s="31"/>
      <c r="D25" s="31"/>
      <c r="E25" s="31"/>
      <c r="F25" s="31"/>
      <c r="G25" s="31">
        <f t="shared" si="4"/>
        <v>0</v>
      </c>
      <c r="H25" s="31">
        <f t="shared" si="5"/>
        <v>0</v>
      </c>
      <c r="I25" s="30"/>
    </row>
    <row r="26" spans="1:9">
      <c r="A26" s="33"/>
      <c r="B26" s="32" t="s">
        <v>141</v>
      </c>
      <c r="C26" s="31"/>
      <c r="D26" s="31"/>
      <c r="E26" s="31">
        <f>1150+468+52.5</f>
        <v>1670.5</v>
      </c>
      <c r="F26" s="31">
        <v>1027</v>
      </c>
      <c r="G26" s="31">
        <f>ROUND(E26/5*6,0)-63</f>
        <v>1942</v>
      </c>
      <c r="H26" s="31">
        <f t="shared" si="5"/>
        <v>1232</v>
      </c>
      <c r="I26" s="30"/>
    </row>
    <row r="27" spans="1:9">
      <c r="A27" s="33"/>
      <c r="B27" s="32" t="s">
        <v>55</v>
      </c>
      <c r="C27" s="31"/>
      <c r="D27" s="31"/>
      <c r="E27" s="31">
        <v>2890</v>
      </c>
      <c r="F27" s="31">
        <v>2890</v>
      </c>
      <c r="G27" s="31">
        <v>2890</v>
      </c>
      <c r="H27" s="31">
        <v>2890</v>
      </c>
      <c r="I27" s="30"/>
    </row>
    <row r="28" spans="1:9">
      <c r="A28" s="29"/>
      <c r="B28" s="28" t="s">
        <v>54</v>
      </c>
      <c r="C28" s="27"/>
      <c r="D28" s="27"/>
      <c r="E28" s="27">
        <v>3</v>
      </c>
      <c r="F28" s="27">
        <v>3</v>
      </c>
      <c r="G28" s="27">
        <f t="shared" si="4"/>
        <v>4</v>
      </c>
      <c r="H28" s="27">
        <f t="shared" si="5"/>
        <v>4</v>
      </c>
      <c r="I28" s="26"/>
    </row>
  </sheetData>
  <mergeCells count="9">
    <mergeCell ref="E5:F5"/>
    <mergeCell ref="I5:I6"/>
    <mergeCell ref="D1:I1"/>
    <mergeCell ref="A2:I2"/>
    <mergeCell ref="A3:I3"/>
    <mergeCell ref="A5:A6"/>
    <mergeCell ref="B5:B6"/>
    <mergeCell ref="C5:D5"/>
    <mergeCell ref="G5:H5"/>
  </mergeCells>
  <pageMargins left="0.47" right="0.28999999999999998" top="0.64" bottom="0.2" header="0.3" footer="0.3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="70" zoomScaleNormal="70" workbookViewId="0">
      <pane xSplit="2" ySplit="7" topLeftCell="D29" activePane="bottomRight" state="frozen"/>
      <selection activeCell="D7" sqref="D7:F7"/>
      <selection pane="topRight" activeCell="D7" sqref="D7:F7"/>
      <selection pane="bottomLeft" activeCell="D7" sqref="D7:F7"/>
      <selection pane="bottomRight" activeCell="A3" sqref="A3:P3"/>
    </sheetView>
  </sheetViews>
  <sheetFormatPr defaultRowHeight="15.75"/>
  <cols>
    <col min="1" max="1" width="5.88671875" style="61" customWidth="1"/>
    <col min="2" max="2" width="21.21875" style="59" customWidth="1"/>
    <col min="3" max="3" width="12.77734375" style="59" hidden="1" customWidth="1"/>
    <col min="4" max="4" width="9.88671875" style="59" customWidth="1"/>
    <col min="5" max="5" width="9.88671875" style="60" customWidth="1"/>
    <col min="6" max="6" width="11.6640625" style="60" customWidth="1"/>
    <col min="7" max="7" width="8.6640625" style="60" customWidth="1"/>
    <col min="8" max="8" width="8.88671875" style="60"/>
    <col min="9" max="9" width="9.21875" style="60" customWidth="1"/>
    <col min="10" max="10" width="9.33203125" style="60" customWidth="1"/>
    <col min="11" max="11" width="9.21875" style="60" customWidth="1"/>
    <col min="12" max="12" width="8.21875" style="60" customWidth="1"/>
    <col min="13" max="13" width="8.5546875" style="60" customWidth="1"/>
    <col min="14" max="14" width="6.6640625" style="59" customWidth="1"/>
    <col min="15" max="15" width="5.88671875" style="59" customWidth="1"/>
    <col min="16" max="16" width="8.33203125" style="59" customWidth="1"/>
    <col min="17" max="16384" width="8.88671875" style="59"/>
  </cols>
  <sheetData>
    <row r="1" spans="1:16" ht="15.75" customHeight="1">
      <c r="A1" s="254" t="s">
        <v>408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16" hidden="1">
      <c r="A2" s="286" t="e">
        <f>+'thu phí,lệ phí, khac 2023'!#REF!</f>
        <v>#REF!</v>
      </c>
      <c r="B2" s="286"/>
      <c r="C2" s="286"/>
      <c r="D2" s="286"/>
      <c r="E2" s="286"/>
      <c r="F2" s="286"/>
      <c r="G2" s="286"/>
    </row>
    <row r="3" spans="1:16" s="80" customFormat="1" ht="20.25" customHeight="1">
      <c r="A3" s="286" t="str">
        <f>+'thu phí,lệ phí, khac 2023'!A3</f>
        <v>(Kèm theo Báo cáo số             /BC-UBND ngày      /7   /2023 của UBND huyện)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1:16" s="79" customFormat="1" ht="20.25" hidden="1">
      <c r="A4" s="286" t="s">
        <v>27</v>
      </c>
      <c r="B4" s="286"/>
      <c r="C4" s="286"/>
      <c r="D4" s="286"/>
      <c r="E4" s="286"/>
      <c r="F4" s="286"/>
      <c r="G4" s="286"/>
      <c r="H4" s="102"/>
      <c r="I4" s="102"/>
      <c r="J4" s="102"/>
      <c r="K4" s="102"/>
      <c r="L4" s="102"/>
      <c r="M4" s="102"/>
    </row>
    <row r="5" spans="1:16" s="74" customFormat="1">
      <c r="A5" s="78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6" s="69" customFormat="1" ht="34.5" customHeight="1">
      <c r="A6" s="283" t="s">
        <v>25</v>
      </c>
      <c r="B6" s="283" t="s">
        <v>125</v>
      </c>
      <c r="C6" s="284" t="s">
        <v>129</v>
      </c>
      <c r="D6" s="284" t="s">
        <v>124</v>
      </c>
      <c r="E6" s="282" t="s">
        <v>22</v>
      </c>
      <c r="F6" s="282"/>
      <c r="G6" s="282"/>
      <c r="H6" s="282" t="s">
        <v>142</v>
      </c>
      <c r="I6" s="282"/>
      <c r="J6" s="282"/>
      <c r="K6" s="282" t="s">
        <v>127</v>
      </c>
      <c r="L6" s="282"/>
      <c r="M6" s="282"/>
      <c r="N6" s="260" t="s">
        <v>128</v>
      </c>
      <c r="O6" s="261"/>
      <c r="P6" s="262"/>
    </row>
    <row r="7" spans="1:16" s="69" customFormat="1" ht="123.75" customHeight="1">
      <c r="A7" s="283"/>
      <c r="B7" s="283"/>
      <c r="C7" s="285"/>
      <c r="D7" s="285"/>
      <c r="E7" s="73" t="s">
        <v>143</v>
      </c>
      <c r="F7" s="73" t="s">
        <v>19</v>
      </c>
      <c r="G7" s="73" t="s">
        <v>18</v>
      </c>
      <c r="H7" s="73" t="s">
        <v>143</v>
      </c>
      <c r="I7" s="73" t="s">
        <v>19</v>
      </c>
      <c r="J7" s="73" t="s">
        <v>18</v>
      </c>
      <c r="K7" s="73" t="s">
        <v>143</v>
      </c>
      <c r="L7" s="108" t="s">
        <v>19</v>
      </c>
      <c r="M7" s="73" t="s">
        <v>18</v>
      </c>
      <c r="N7" s="22" t="s">
        <v>129</v>
      </c>
      <c r="O7" s="22" t="s">
        <v>130</v>
      </c>
      <c r="P7" s="8" t="s">
        <v>131</v>
      </c>
    </row>
    <row r="8" spans="1:16" s="69" customFormat="1" ht="21.95" customHeight="1">
      <c r="A8" s="70"/>
      <c r="B8" s="66" t="s">
        <v>123</v>
      </c>
      <c r="C8" s="65">
        <v>557141</v>
      </c>
      <c r="D8" s="65">
        <v>1126642</v>
      </c>
      <c r="E8" s="65">
        <v>1456025</v>
      </c>
      <c r="F8" s="65">
        <v>1218298</v>
      </c>
      <c r="G8" s="65">
        <v>237727</v>
      </c>
      <c r="H8" s="65">
        <f>+H9+H22+H30+H31+H32+H35+H36+H37+H38+H39+H40+H44</f>
        <v>543476.20319999999</v>
      </c>
      <c r="I8" s="65">
        <f t="shared" ref="I8:M8" si="0">+I9+I22+I30+I31+I32+I35+I36+I37+I38+I39+I40+I44</f>
        <v>443193.20319999999</v>
      </c>
      <c r="J8" s="65">
        <f t="shared" si="0"/>
        <v>100283</v>
      </c>
      <c r="K8" s="65">
        <f t="shared" si="0"/>
        <v>746115.45699999994</v>
      </c>
      <c r="L8" s="65">
        <f t="shared" si="0"/>
        <v>632303.45699999994</v>
      </c>
      <c r="M8" s="65">
        <f t="shared" si="0"/>
        <v>113812</v>
      </c>
      <c r="N8" s="119">
        <f t="shared" ref="N8:N44" si="1">IF(C8&gt;0,$K8/C8*100,"")</f>
        <v>133.91860534406908</v>
      </c>
      <c r="O8" s="119">
        <f t="shared" ref="O8:P44" si="2">+IF(D8&gt;0,$K8/D8*100,"")</f>
        <v>66.224715304417899</v>
      </c>
      <c r="P8" s="119">
        <f t="shared" si="2"/>
        <v>51.243313610686627</v>
      </c>
    </row>
    <row r="9" spans="1:16" s="69" customFormat="1" ht="21.95" customHeight="1">
      <c r="A9" s="70" t="s">
        <v>16</v>
      </c>
      <c r="B9" s="66" t="s">
        <v>122</v>
      </c>
      <c r="C9" s="65">
        <v>8943</v>
      </c>
      <c r="D9" s="65"/>
      <c r="E9" s="65">
        <v>36355</v>
      </c>
      <c r="F9" s="65">
        <v>31133</v>
      </c>
      <c r="G9" s="65">
        <v>5222</v>
      </c>
      <c r="H9" s="65">
        <f t="shared" ref="H9:H44" si="3">SUM(I9:J9)</f>
        <v>10270.2032</v>
      </c>
      <c r="I9" s="65">
        <f>SUM(I11:I21)</f>
        <v>7048.2031999999999</v>
      </c>
      <c r="J9" s="65">
        <v>3222</v>
      </c>
      <c r="K9" s="65">
        <f t="shared" ref="K9:K39" si="4">SUM(L9:M9)</f>
        <v>11706.85</v>
      </c>
      <c r="L9" s="65">
        <f>SUM(L11:L21)</f>
        <v>7840.85</v>
      </c>
      <c r="M9" s="65">
        <f>ROUND(J9*6/5,0)</f>
        <v>3866</v>
      </c>
      <c r="N9" s="119">
        <f t="shared" si="1"/>
        <v>130.90517723359051</v>
      </c>
      <c r="O9" s="66" t="str">
        <f t="shared" si="2"/>
        <v/>
      </c>
      <c r="P9" s="119">
        <f t="shared" si="2"/>
        <v>32.201485352771286</v>
      </c>
    </row>
    <row r="10" spans="1:16" s="69" customFormat="1" ht="21.95" customHeight="1">
      <c r="A10" s="64">
        <v>1</v>
      </c>
      <c r="B10" s="63" t="s">
        <v>121</v>
      </c>
      <c r="C10" s="62">
        <v>470</v>
      </c>
      <c r="D10" s="65"/>
      <c r="E10" s="62">
        <v>3412</v>
      </c>
      <c r="F10" s="62">
        <v>3412</v>
      </c>
      <c r="G10" s="62"/>
      <c r="H10" s="65">
        <f t="shared" si="3"/>
        <v>480.50489999999996</v>
      </c>
      <c r="I10" s="62">
        <f>SUM(I11:I12)</f>
        <v>480.50489999999996</v>
      </c>
      <c r="J10" s="62">
        <f t="shared" ref="J10:L10" si="5">SUM(J11:J12)</f>
        <v>0</v>
      </c>
      <c r="K10" s="62">
        <f t="shared" si="5"/>
        <v>606</v>
      </c>
      <c r="L10" s="62">
        <f t="shared" si="5"/>
        <v>606</v>
      </c>
      <c r="M10" s="65"/>
      <c r="N10" s="120">
        <f t="shared" si="1"/>
        <v>128.93617021276594</v>
      </c>
      <c r="O10" s="63" t="str">
        <f t="shared" si="2"/>
        <v/>
      </c>
      <c r="P10" s="120">
        <f t="shared" si="2"/>
        <v>17.760844079718641</v>
      </c>
    </row>
    <row r="11" spans="1:16" s="69" customFormat="1" ht="21.95" customHeight="1">
      <c r="A11" s="64"/>
      <c r="B11" s="63" t="s">
        <v>120</v>
      </c>
      <c r="C11" s="62">
        <v>429</v>
      </c>
      <c r="D11" s="65"/>
      <c r="E11" s="65">
        <v>2910</v>
      </c>
      <c r="F11" s="65">
        <v>2910</v>
      </c>
      <c r="G11" s="65"/>
      <c r="H11" s="65">
        <f t="shared" si="3"/>
        <v>421.49489999999997</v>
      </c>
      <c r="I11" s="62">
        <v>421.49489999999997</v>
      </c>
      <c r="J11" s="62"/>
      <c r="K11" s="62">
        <f t="shared" si="4"/>
        <v>506</v>
      </c>
      <c r="L11" s="62">
        <f>ROUND(I11*6/5,0)</f>
        <v>506</v>
      </c>
      <c r="M11" s="65"/>
      <c r="N11" s="120">
        <f t="shared" si="1"/>
        <v>117.94871794871796</v>
      </c>
      <c r="O11" s="63" t="str">
        <f t="shared" si="2"/>
        <v/>
      </c>
      <c r="P11" s="120">
        <f t="shared" si="2"/>
        <v>17.388316151202748</v>
      </c>
    </row>
    <row r="12" spans="1:16" s="69" customFormat="1" ht="21.95" customHeight="1">
      <c r="A12" s="64"/>
      <c r="B12" s="63" t="s">
        <v>119</v>
      </c>
      <c r="C12" s="62">
        <v>41</v>
      </c>
      <c r="D12" s="65"/>
      <c r="E12" s="65">
        <v>502</v>
      </c>
      <c r="F12" s="65">
        <v>502</v>
      </c>
      <c r="G12" s="65"/>
      <c r="H12" s="65">
        <f t="shared" si="3"/>
        <v>59.01</v>
      </c>
      <c r="I12" s="62">
        <v>59.01</v>
      </c>
      <c r="J12" s="62"/>
      <c r="K12" s="62">
        <f t="shared" si="4"/>
        <v>100</v>
      </c>
      <c r="L12" s="62">
        <v>100</v>
      </c>
      <c r="M12" s="65"/>
      <c r="N12" s="120">
        <f t="shared" si="1"/>
        <v>243.90243902439025</v>
      </c>
      <c r="O12" s="63" t="str">
        <f t="shared" si="2"/>
        <v/>
      </c>
      <c r="P12" s="120">
        <f t="shared" si="2"/>
        <v>19.920318725099602</v>
      </c>
    </row>
    <row r="13" spans="1:16" s="69" customFormat="1" ht="21.95" customHeight="1">
      <c r="A13" s="64">
        <v>2</v>
      </c>
      <c r="B13" s="63" t="s">
        <v>118</v>
      </c>
      <c r="C13" s="62">
        <v>100</v>
      </c>
      <c r="D13" s="65"/>
      <c r="E13" s="65">
        <v>770</v>
      </c>
      <c r="F13" s="65">
        <v>770</v>
      </c>
      <c r="G13" s="65"/>
      <c r="H13" s="65">
        <f t="shared" si="3"/>
        <v>86.192999999999998</v>
      </c>
      <c r="I13" s="62">
        <v>86.192999999999998</v>
      </c>
      <c r="J13" s="62"/>
      <c r="K13" s="62">
        <f t="shared" si="4"/>
        <v>100</v>
      </c>
      <c r="L13" s="62">
        <v>100</v>
      </c>
      <c r="M13" s="65"/>
      <c r="N13" s="120">
        <f t="shared" si="1"/>
        <v>100</v>
      </c>
      <c r="O13" s="63" t="str">
        <f t="shared" si="2"/>
        <v/>
      </c>
      <c r="P13" s="120">
        <f t="shared" si="2"/>
        <v>12.987012987012985</v>
      </c>
    </row>
    <row r="14" spans="1:16" s="69" customFormat="1" ht="21.95" customHeight="1">
      <c r="A14" s="64">
        <v>3</v>
      </c>
      <c r="B14" s="63" t="s">
        <v>117</v>
      </c>
      <c r="C14" s="62">
        <v>647</v>
      </c>
      <c r="D14" s="65"/>
      <c r="E14" s="65">
        <v>1146</v>
      </c>
      <c r="F14" s="65">
        <v>1146</v>
      </c>
      <c r="G14" s="65"/>
      <c r="H14" s="65">
        <f t="shared" si="3"/>
        <v>524.19399999999996</v>
      </c>
      <c r="I14" s="62">
        <v>524.19399999999996</v>
      </c>
      <c r="J14" s="62"/>
      <c r="K14" s="62">
        <f t="shared" si="4"/>
        <v>629</v>
      </c>
      <c r="L14" s="62">
        <f>ROUND(I14*6/5,0)</f>
        <v>629</v>
      </c>
      <c r="M14" s="65"/>
      <c r="N14" s="120">
        <f t="shared" si="1"/>
        <v>97.21792890262752</v>
      </c>
      <c r="O14" s="63" t="str">
        <f t="shared" si="2"/>
        <v/>
      </c>
      <c r="P14" s="120">
        <f t="shared" si="2"/>
        <v>54.886561954624781</v>
      </c>
    </row>
    <row r="15" spans="1:16" s="69" customFormat="1" ht="21.95" customHeight="1">
      <c r="A15" s="64">
        <v>4</v>
      </c>
      <c r="B15" s="63" t="s">
        <v>116</v>
      </c>
      <c r="C15" s="62">
        <v>779</v>
      </c>
      <c r="D15" s="65"/>
      <c r="E15" s="65">
        <v>1955</v>
      </c>
      <c r="F15" s="65">
        <v>1955</v>
      </c>
      <c r="G15" s="65"/>
      <c r="H15" s="65">
        <f t="shared" si="3"/>
        <v>799.19510000000002</v>
      </c>
      <c r="I15" s="62">
        <v>799.19510000000002</v>
      </c>
      <c r="J15" s="62"/>
      <c r="K15" s="62">
        <f t="shared" si="4"/>
        <v>959</v>
      </c>
      <c r="L15" s="62">
        <f>ROUND(I15*6/5,0)</f>
        <v>959</v>
      </c>
      <c r="M15" s="65"/>
      <c r="N15" s="120">
        <f t="shared" si="1"/>
        <v>123.10654685494222</v>
      </c>
      <c r="O15" s="63" t="str">
        <f t="shared" si="2"/>
        <v/>
      </c>
      <c r="P15" s="120">
        <f t="shared" si="2"/>
        <v>49.053708439897697</v>
      </c>
    </row>
    <row r="16" spans="1:16" s="69" customFormat="1" ht="21.95" customHeight="1">
      <c r="A16" s="64">
        <v>5</v>
      </c>
      <c r="B16" s="63" t="s">
        <v>115</v>
      </c>
      <c r="C16" s="62">
        <v>0</v>
      </c>
      <c r="D16" s="65"/>
      <c r="E16" s="65">
        <v>1900</v>
      </c>
      <c r="F16" s="65">
        <v>1900</v>
      </c>
      <c r="G16" s="65"/>
      <c r="H16" s="65">
        <f t="shared" si="3"/>
        <v>34.052</v>
      </c>
      <c r="I16" s="62">
        <v>34.052</v>
      </c>
      <c r="J16" s="62"/>
      <c r="K16" s="62">
        <f t="shared" si="4"/>
        <v>50</v>
      </c>
      <c r="L16" s="62">
        <v>50</v>
      </c>
      <c r="M16" s="65"/>
      <c r="N16" s="120" t="str">
        <f t="shared" si="1"/>
        <v/>
      </c>
      <c r="O16" s="63" t="str">
        <f t="shared" si="2"/>
        <v/>
      </c>
      <c r="P16" s="120">
        <f t="shared" si="2"/>
        <v>2.6315789473684208</v>
      </c>
    </row>
    <row r="17" spans="1:16" s="69" customFormat="1" ht="21.95" customHeight="1">
      <c r="A17" s="64">
        <v>6</v>
      </c>
      <c r="B17" s="63" t="s">
        <v>114</v>
      </c>
      <c r="C17" s="62">
        <v>105</v>
      </c>
      <c r="D17" s="65"/>
      <c r="E17" s="65">
        <v>808</v>
      </c>
      <c r="F17" s="65">
        <v>808</v>
      </c>
      <c r="G17" s="65"/>
      <c r="H17" s="65">
        <f t="shared" si="3"/>
        <v>212.67500000000001</v>
      </c>
      <c r="I17" s="62">
        <v>212.67500000000001</v>
      </c>
      <c r="J17" s="62"/>
      <c r="K17" s="62">
        <f t="shared" si="4"/>
        <v>255</v>
      </c>
      <c r="L17" s="62">
        <f>ROUND(I17*6/5,0)</f>
        <v>255</v>
      </c>
      <c r="M17" s="65"/>
      <c r="N17" s="120">
        <f t="shared" si="1"/>
        <v>242.85714285714283</v>
      </c>
      <c r="O17" s="63" t="str">
        <f t="shared" si="2"/>
        <v/>
      </c>
      <c r="P17" s="120">
        <f t="shared" si="2"/>
        <v>31.559405940594061</v>
      </c>
    </row>
    <row r="18" spans="1:16" s="69" customFormat="1" ht="21.95" customHeight="1">
      <c r="A18" s="64">
        <v>7</v>
      </c>
      <c r="B18" s="63" t="s">
        <v>113</v>
      </c>
      <c r="C18" s="62">
        <v>716</v>
      </c>
      <c r="D18" s="65"/>
      <c r="E18" s="65">
        <v>2816</v>
      </c>
      <c r="F18" s="65">
        <v>2816</v>
      </c>
      <c r="G18" s="65"/>
      <c r="H18" s="65">
        <f t="shared" si="3"/>
        <v>650.53920000000005</v>
      </c>
      <c r="I18" s="62">
        <v>650.53920000000005</v>
      </c>
      <c r="J18" s="62"/>
      <c r="K18" s="62">
        <f t="shared" si="4"/>
        <v>781</v>
      </c>
      <c r="L18" s="62">
        <f>ROUND(I18*6/5,0)</f>
        <v>781</v>
      </c>
      <c r="M18" s="65"/>
      <c r="N18" s="120">
        <f t="shared" si="1"/>
        <v>109.07821229050279</v>
      </c>
      <c r="O18" s="63" t="str">
        <f t="shared" si="2"/>
        <v/>
      </c>
      <c r="P18" s="120">
        <f t="shared" si="2"/>
        <v>27.734375</v>
      </c>
    </row>
    <row r="19" spans="1:16" s="69" customFormat="1" ht="21.95" customHeight="1">
      <c r="A19" s="64">
        <v>8</v>
      </c>
      <c r="B19" s="63" t="s">
        <v>112</v>
      </c>
      <c r="C19" s="62">
        <v>137</v>
      </c>
      <c r="D19" s="65"/>
      <c r="E19" s="65">
        <v>1650</v>
      </c>
      <c r="F19" s="65">
        <v>1650</v>
      </c>
      <c r="G19" s="65"/>
      <c r="H19" s="65">
        <f t="shared" si="3"/>
        <v>142.55000000000001</v>
      </c>
      <c r="I19" s="62">
        <v>142.55000000000001</v>
      </c>
      <c r="J19" s="62"/>
      <c r="K19" s="62">
        <f t="shared" si="4"/>
        <v>342.55</v>
      </c>
      <c r="L19" s="62">
        <f>142.55+200</f>
        <v>342.55</v>
      </c>
      <c r="M19" s="65"/>
      <c r="N19" s="120">
        <f t="shared" si="1"/>
        <v>250.03649635036496</v>
      </c>
      <c r="O19" s="63" t="str">
        <f t="shared" si="2"/>
        <v/>
      </c>
      <c r="P19" s="120">
        <f t="shared" si="2"/>
        <v>20.760606060606062</v>
      </c>
    </row>
    <row r="20" spans="1:16" s="69" customFormat="1" ht="21.95" customHeight="1">
      <c r="A20" s="64">
        <v>9</v>
      </c>
      <c r="B20" s="63" t="s">
        <v>111</v>
      </c>
      <c r="C20" s="62">
        <v>4613</v>
      </c>
      <c r="D20" s="65"/>
      <c r="E20" s="65">
        <v>7176</v>
      </c>
      <c r="F20" s="65">
        <v>7176</v>
      </c>
      <c r="G20" s="65"/>
      <c r="H20" s="65">
        <f t="shared" si="3"/>
        <v>4118.3</v>
      </c>
      <c r="I20" s="62">
        <v>4118.3</v>
      </c>
      <c r="J20" s="62"/>
      <c r="K20" s="62">
        <f t="shared" si="4"/>
        <v>4118.3</v>
      </c>
      <c r="L20" s="62">
        <v>4118.3</v>
      </c>
      <c r="M20" s="65"/>
      <c r="N20" s="120">
        <f t="shared" si="1"/>
        <v>89.275959245610238</v>
      </c>
      <c r="O20" s="63" t="str">
        <f t="shared" si="2"/>
        <v/>
      </c>
      <c r="P20" s="120">
        <f t="shared" si="2"/>
        <v>57.38991081382386</v>
      </c>
    </row>
    <row r="21" spans="1:16" s="69" customFormat="1" ht="21.95" customHeight="1">
      <c r="A21" s="64">
        <v>10</v>
      </c>
      <c r="B21" s="63" t="s">
        <v>110</v>
      </c>
      <c r="C21" s="62">
        <v>0</v>
      </c>
      <c r="D21" s="65"/>
      <c r="E21" s="65">
        <v>9500</v>
      </c>
      <c r="F21" s="65">
        <v>9500</v>
      </c>
      <c r="G21" s="65"/>
      <c r="H21" s="65">
        <f t="shared" si="3"/>
        <v>0</v>
      </c>
      <c r="I21" s="65"/>
      <c r="J21" s="65"/>
      <c r="K21" s="65">
        <f t="shared" si="4"/>
        <v>0</v>
      </c>
      <c r="L21" s="65"/>
      <c r="M21" s="65"/>
      <c r="N21" s="119" t="str">
        <f t="shared" si="1"/>
        <v/>
      </c>
      <c r="O21" s="66" t="str">
        <f t="shared" si="2"/>
        <v/>
      </c>
      <c r="P21" s="119">
        <f t="shared" si="2"/>
        <v>0</v>
      </c>
    </row>
    <row r="22" spans="1:16" ht="21.95" customHeight="1">
      <c r="A22" s="70" t="s">
        <v>5</v>
      </c>
      <c r="B22" s="66" t="s">
        <v>109</v>
      </c>
      <c r="C22" s="65">
        <v>217217</v>
      </c>
      <c r="D22" s="65"/>
      <c r="E22" s="65">
        <v>459033</v>
      </c>
      <c r="F22" s="65">
        <v>445913</v>
      </c>
      <c r="G22" s="65">
        <v>13120</v>
      </c>
      <c r="H22" s="65">
        <f t="shared" ref="H22:M22" si="6">SUM(H23:H29)</f>
        <v>169130</v>
      </c>
      <c r="I22" s="65">
        <f t="shared" si="6"/>
        <v>163924</v>
      </c>
      <c r="J22" s="65">
        <f t="shared" si="6"/>
        <v>5206</v>
      </c>
      <c r="K22" s="65">
        <f t="shared" si="6"/>
        <v>202956</v>
      </c>
      <c r="L22" s="65">
        <f t="shared" si="6"/>
        <v>196709</v>
      </c>
      <c r="M22" s="65">
        <f t="shared" si="6"/>
        <v>6247</v>
      </c>
      <c r="N22" s="119">
        <f t="shared" si="1"/>
        <v>93.434675923155183</v>
      </c>
      <c r="O22" s="66" t="str">
        <f t="shared" si="2"/>
        <v/>
      </c>
      <c r="P22" s="119">
        <f t="shared" si="2"/>
        <v>44.213814693061281</v>
      </c>
    </row>
    <row r="23" spans="1:16" ht="21.95" customHeight="1">
      <c r="A23" s="64">
        <v>1</v>
      </c>
      <c r="B23" s="72" t="s">
        <v>108</v>
      </c>
      <c r="C23" s="71">
        <v>3002</v>
      </c>
      <c r="D23" s="71"/>
      <c r="E23" s="62">
        <v>7729</v>
      </c>
      <c r="F23" s="65">
        <v>4765</v>
      </c>
      <c r="G23" s="62">
        <v>2964</v>
      </c>
      <c r="H23" s="62">
        <f t="shared" si="3"/>
        <v>2102</v>
      </c>
      <c r="I23" s="62">
        <v>1297</v>
      </c>
      <c r="J23" s="62">
        <v>805</v>
      </c>
      <c r="K23" s="62">
        <f t="shared" si="4"/>
        <v>2522</v>
      </c>
      <c r="L23" s="62">
        <f t="shared" ref="L23:M29" si="7">ROUND(I23/5*6,0)</f>
        <v>1556</v>
      </c>
      <c r="M23" s="62">
        <f t="shared" si="7"/>
        <v>966</v>
      </c>
      <c r="N23" s="120">
        <f t="shared" si="1"/>
        <v>84.010659560293135</v>
      </c>
      <c r="O23" s="63" t="str">
        <f t="shared" si="2"/>
        <v/>
      </c>
      <c r="P23" s="120">
        <f t="shared" si="2"/>
        <v>32.630353215163673</v>
      </c>
    </row>
    <row r="24" spans="1:16" ht="21.95" customHeight="1">
      <c r="A24" s="64">
        <v>2</v>
      </c>
      <c r="B24" s="72" t="s">
        <v>107</v>
      </c>
      <c r="C24" s="71">
        <v>744</v>
      </c>
      <c r="D24" s="71"/>
      <c r="E24" s="62">
        <v>2806</v>
      </c>
      <c r="F24" s="65">
        <v>1159</v>
      </c>
      <c r="G24" s="62">
        <v>1647</v>
      </c>
      <c r="H24" s="62">
        <f t="shared" si="3"/>
        <v>500</v>
      </c>
      <c r="I24" s="62">
        <v>230</v>
      </c>
      <c r="J24" s="62">
        <v>270</v>
      </c>
      <c r="K24" s="62">
        <f t="shared" si="4"/>
        <v>600</v>
      </c>
      <c r="L24" s="62">
        <f t="shared" si="7"/>
        <v>276</v>
      </c>
      <c r="M24" s="62">
        <f t="shared" si="7"/>
        <v>324</v>
      </c>
      <c r="N24" s="120">
        <f t="shared" si="1"/>
        <v>80.645161290322577</v>
      </c>
      <c r="O24" s="63" t="str">
        <f t="shared" si="2"/>
        <v/>
      </c>
      <c r="P24" s="120">
        <f t="shared" si="2"/>
        <v>21.382751247327157</v>
      </c>
    </row>
    <row r="25" spans="1:16" ht="21.95" customHeight="1">
      <c r="A25" s="64">
        <v>3</v>
      </c>
      <c r="B25" s="72" t="s">
        <v>106</v>
      </c>
      <c r="C25" s="71">
        <v>643</v>
      </c>
      <c r="D25" s="71"/>
      <c r="E25" s="62">
        <v>1560</v>
      </c>
      <c r="F25" s="65">
        <v>1025</v>
      </c>
      <c r="G25" s="62">
        <v>535</v>
      </c>
      <c r="H25" s="62">
        <f t="shared" si="3"/>
        <v>428</v>
      </c>
      <c r="I25" s="62">
        <v>263</v>
      </c>
      <c r="J25" s="62">
        <v>165</v>
      </c>
      <c r="K25" s="62">
        <f t="shared" si="4"/>
        <v>514</v>
      </c>
      <c r="L25" s="62">
        <f t="shared" si="7"/>
        <v>316</v>
      </c>
      <c r="M25" s="62">
        <f t="shared" si="7"/>
        <v>198</v>
      </c>
      <c r="N25" s="120">
        <f t="shared" si="1"/>
        <v>79.937791601866252</v>
      </c>
      <c r="O25" s="63" t="str">
        <f t="shared" si="2"/>
        <v/>
      </c>
      <c r="P25" s="120">
        <f t="shared" si="2"/>
        <v>32.948717948717949</v>
      </c>
    </row>
    <row r="26" spans="1:16" ht="21.95" customHeight="1">
      <c r="A26" s="64">
        <v>4</v>
      </c>
      <c r="B26" s="72" t="s">
        <v>105</v>
      </c>
      <c r="C26" s="71">
        <v>33038</v>
      </c>
      <c r="D26" s="71"/>
      <c r="E26" s="62">
        <v>60106</v>
      </c>
      <c r="F26" s="65">
        <v>52132</v>
      </c>
      <c r="G26" s="62">
        <v>7974</v>
      </c>
      <c r="H26" s="62">
        <f t="shared" si="3"/>
        <v>26085</v>
      </c>
      <c r="I26" s="62">
        <v>22215</v>
      </c>
      <c r="J26" s="62">
        <v>3870</v>
      </c>
      <c r="K26" s="62">
        <f t="shared" si="4"/>
        <v>31302</v>
      </c>
      <c r="L26" s="62">
        <f t="shared" si="7"/>
        <v>26658</v>
      </c>
      <c r="M26" s="62">
        <f t="shared" si="7"/>
        <v>4644</v>
      </c>
      <c r="N26" s="120">
        <f t="shared" si="1"/>
        <v>94.745444639506033</v>
      </c>
      <c r="O26" s="63" t="str">
        <f t="shared" si="2"/>
        <v/>
      </c>
      <c r="P26" s="120">
        <f t="shared" si="2"/>
        <v>52.077995541210534</v>
      </c>
    </row>
    <row r="27" spans="1:16" ht="21.95" customHeight="1">
      <c r="A27" s="64">
        <v>6</v>
      </c>
      <c r="B27" s="72" t="s">
        <v>104</v>
      </c>
      <c r="C27" s="71">
        <v>1272</v>
      </c>
      <c r="D27" s="71"/>
      <c r="E27" s="62">
        <v>10791</v>
      </c>
      <c r="F27" s="65">
        <v>10791</v>
      </c>
      <c r="G27" s="62">
        <v>0</v>
      </c>
      <c r="H27" s="62">
        <f t="shared" si="3"/>
        <v>1133</v>
      </c>
      <c r="I27" s="62">
        <v>1037</v>
      </c>
      <c r="J27" s="62">
        <v>96</v>
      </c>
      <c r="K27" s="62">
        <f t="shared" si="4"/>
        <v>1359</v>
      </c>
      <c r="L27" s="62">
        <f t="shared" si="7"/>
        <v>1244</v>
      </c>
      <c r="M27" s="62">
        <f t="shared" si="7"/>
        <v>115</v>
      </c>
      <c r="N27" s="120">
        <f t="shared" si="1"/>
        <v>106.83962264150944</v>
      </c>
      <c r="O27" s="63" t="str">
        <f t="shared" si="2"/>
        <v/>
      </c>
      <c r="P27" s="120">
        <f t="shared" si="2"/>
        <v>12.593828190158465</v>
      </c>
    </row>
    <row r="28" spans="1:16" ht="21.95" customHeight="1">
      <c r="A28" s="64">
        <v>5</v>
      </c>
      <c r="B28" s="72" t="s">
        <v>103</v>
      </c>
      <c r="C28" s="71">
        <v>178038</v>
      </c>
      <c r="D28" s="287">
        <v>390529</v>
      </c>
      <c r="E28" s="62">
        <v>374185</v>
      </c>
      <c r="F28" s="65">
        <v>374185</v>
      </c>
      <c r="G28" s="62">
        <v>0</v>
      </c>
      <c r="H28" s="62">
        <f t="shared" si="3"/>
        <v>138408</v>
      </c>
      <c r="I28" s="62">
        <v>138408</v>
      </c>
      <c r="J28" s="62">
        <v>0</v>
      </c>
      <c r="K28" s="62">
        <f t="shared" si="4"/>
        <v>166090</v>
      </c>
      <c r="L28" s="62">
        <f t="shared" si="7"/>
        <v>166090</v>
      </c>
      <c r="M28" s="62">
        <f t="shared" si="7"/>
        <v>0</v>
      </c>
      <c r="N28" s="120">
        <f t="shared" si="1"/>
        <v>93.28907311922174</v>
      </c>
      <c r="O28" s="63">
        <f t="shared" si="2"/>
        <v>42.529492047965704</v>
      </c>
      <c r="P28" s="120">
        <f t="shared" si="2"/>
        <v>44.387134706094578</v>
      </c>
    </row>
    <row r="29" spans="1:16" ht="21.95" customHeight="1">
      <c r="A29" s="64">
        <v>7</v>
      </c>
      <c r="B29" s="72" t="s">
        <v>102</v>
      </c>
      <c r="C29" s="71">
        <v>480</v>
      </c>
      <c r="D29" s="287"/>
      <c r="E29" s="62">
        <v>1856</v>
      </c>
      <c r="F29" s="65">
        <v>1856</v>
      </c>
      <c r="G29" s="62">
        <v>0</v>
      </c>
      <c r="H29" s="62">
        <f t="shared" si="3"/>
        <v>474</v>
      </c>
      <c r="I29" s="62">
        <v>474</v>
      </c>
      <c r="J29" s="62">
        <v>0</v>
      </c>
      <c r="K29" s="62">
        <f t="shared" si="4"/>
        <v>569</v>
      </c>
      <c r="L29" s="62">
        <f t="shared" si="7"/>
        <v>569</v>
      </c>
      <c r="M29" s="62">
        <f t="shared" si="7"/>
        <v>0</v>
      </c>
      <c r="N29" s="120">
        <f t="shared" si="1"/>
        <v>118.54166666666666</v>
      </c>
      <c r="O29" s="63" t="str">
        <f t="shared" si="2"/>
        <v/>
      </c>
      <c r="P29" s="120">
        <f t="shared" si="2"/>
        <v>30.657327586206897</v>
      </c>
    </row>
    <row r="30" spans="1:16" s="69" customFormat="1" ht="21.95" customHeight="1">
      <c r="A30" s="70" t="s">
        <v>98</v>
      </c>
      <c r="B30" s="66" t="s">
        <v>101</v>
      </c>
      <c r="C30" s="65">
        <v>831</v>
      </c>
      <c r="D30" s="65"/>
      <c r="E30" s="65">
        <v>3841</v>
      </c>
      <c r="F30" s="65">
        <v>3232</v>
      </c>
      <c r="G30" s="65">
        <v>609</v>
      </c>
      <c r="H30" s="65">
        <f t="shared" si="3"/>
        <v>510</v>
      </c>
      <c r="I30" s="65">
        <v>206</v>
      </c>
      <c r="J30" s="65">
        <v>304</v>
      </c>
      <c r="K30" s="65">
        <f t="shared" si="4"/>
        <v>612</v>
      </c>
      <c r="L30" s="62">
        <f t="shared" ref="L30" si="8">ROUND(I30/5*6,0)</f>
        <v>247</v>
      </c>
      <c r="M30" s="62">
        <f t="shared" ref="M30" si="9">ROUND(J30/5*6,0)</f>
        <v>365</v>
      </c>
      <c r="N30" s="119">
        <f t="shared" si="1"/>
        <v>73.646209386281598</v>
      </c>
      <c r="O30" s="66" t="str">
        <f t="shared" si="2"/>
        <v/>
      </c>
      <c r="P30" s="119">
        <f t="shared" si="2"/>
        <v>15.933350689924501</v>
      </c>
    </row>
    <row r="31" spans="1:16" ht="21.95" customHeight="1">
      <c r="A31" s="70" t="s">
        <v>100</v>
      </c>
      <c r="B31" s="66" t="s">
        <v>99</v>
      </c>
      <c r="C31" s="65">
        <v>67341</v>
      </c>
      <c r="D31" s="65"/>
      <c r="E31" s="65">
        <v>136365</v>
      </c>
      <c r="F31" s="65">
        <v>36611</v>
      </c>
      <c r="G31" s="65">
        <v>99754</v>
      </c>
      <c r="H31" s="65">
        <f>SUM(I31:J31)</f>
        <v>58306</v>
      </c>
      <c r="I31" s="65">
        <v>13630</v>
      </c>
      <c r="J31" s="65">
        <v>44676</v>
      </c>
      <c r="K31" s="65">
        <f t="shared" si="4"/>
        <v>69967</v>
      </c>
      <c r="L31" s="65">
        <f t="shared" ref="L31:L39" si="10">ROUND(I31/5*6,0)</f>
        <v>16356</v>
      </c>
      <c r="M31" s="65">
        <f t="shared" ref="M31:M39" si="11">ROUND(J31/5*6,0)</f>
        <v>53611</v>
      </c>
      <c r="N31" s="119">
        <f t="shared" si="1"/>
        <v>103.89955599114953</v>
      </c>
      <c r="O31" s="66" t="str">
        <f t="shared" si="2"/>
        <v/>
      </c>
      <c r="P31" s="119">
        <f t="shared" si="2"/>
        <v>51.308620247130868</v>
      </c>
    </row>
    <row r="32" spans="1:16">
      <c r="A32" s="70" t="s">
        <v>98</v>
      </c>
      <c r="B32" s="66" t="s">
        <v>97</v>
      </c>
      <c r="C32" s="65">
        <v>9908</v>
      </c>
      <c r="D32" s="65"/>
      <c r="E32" s="65">
        <v>14683</v>
      </c>
      <c r="F32" s="65">
        <v>10896</v>
      </c>
      <c r="G32" s="65">
        <v>3787</v>
      </c>
      <c r="H32" s="65">
        <f t="shared" ref="H32:K32" si="12">SUM(H33:H34)</f>
        <v>7747</v>
      </c>
      <c r="I32" s="65">
        <f t="shared" si="12"/>
        <v>5666</v>
      </c>
      <c r="J32" s="65">
        <f t="shared" si="12"/>
        <v>2081</v>
      </c>
      <c r="K32" s="65">
        <f t="shared" si="12"/>
        <v>9296</v>
      </c>
      <c r="L32" s="65">
        <f t="shared" si="10"/>
        <v>6799</v>
      </c>
      <c r="M32" s="65">
        <f t="shared" si="11"/>
        <v>2497</v>
      </c>
      <c r="N32" s="119">
        <f t="shared" si="1"/>
        <v>93.823173193379077</v>
      </c>
      <c r="O32" s="66" t="str">
        <f t="shared" si="2"/>
        <v/>
      </c>
      <c r="P32" s="119">
        <f t="shared" si="2"/>
        <v>63.311312402097663</v>
      </c>
    </row>
    <row r="33" spans="1:16">
      <c r="A33" s="64">
        <v>1</v>
      </c>
      <c r="B33" s="63" t="s">
        <v>96</v>
      </c>
      <c r="C33" s="62">
        <v>755</v>
      </c>
      <c r="D33" s="62"/>
      <c r="E33" s="62">
        <v>3689</v>
      </c>
      <c r="F33" s="62">
        <v>2830</v>
      </c>
      <c r="G33" s="62">
        <v>859</v>
      </c>
      <c r="H33" s="62">
        <f t="shared" si="3"/>
        <v>743</v>
      </c>
      <c r="I33" s="62">
        <v>386</v>
      </c>
      <c r="J33" s="62">
        <v>357</v>
      </c>
      <c r="K33" s="62">
        <f t="shared" si="4"/>
        <v>891</v>
      </c>
      <c r="L33" s="62">
        <f t="shared" si="10"/>
        <v>463</v>
      </c>
      <c r="M33" s="62">
        <f t="shared" si="11"/>
        <v>428</v>
      </c>
      <c r="N33" s="120">
        <f t="shared" si="1"/>
        <v>118.0132450331126</v>
      </c>
      <c r="O33" s="63" t="str">
        <f t="shared" si="2"/>
        <v/>
      </c>
      <c r="P33" s="120">
        <f t="shared" si="2"/>
        <v>24.15288696123611</v>
      </c>
    </row>
    <row r="34" spans="1:16" s="69" customFormat="1">
      <c r="A34" s="64">
        <v>2</v>
      </c>
      <c r="B34" s="63" t="s">
        <v>95</v>
      </c>
      <c r="C34" s="62">
        <v>9153</v>
      </c>
      <c r="D34" s="62"/>
      <c r="E34" s="62">
        <v>10994</v>
      </c>
      <c r="F34" s="62">
        <v>8066</v>
      </c>
      <c r="G34" s="62">
        <v>2928</v>
      </c>
      <c r="H34" s="62">
        <f t="shared" si="3"/>
        <v>7004</v>
      </c>
      <c r="I34" s="62">
        <v>5280</v>
      </c>
      <c r="J34" s="62">
        <v>1724</v>
      </c>
      <c r="K34" s="62">
        <f t="shared" si="4"/>
        <v>8405</v>
      </c>
      <c r="L34" s="62">
        <f t="shared" si="10"/>
        <v>6336</v>
      </c>
      <c r="M34" s="62">
        <f t="shared" si="11"/>
        <v>2069</v>
      </c>
      <c r="N34" s="120">
        <f t="shared" si="1"/>
        <v>91.827816016606576</v>
      </c>
      <c r="O34" s="63" t="str">
        <f t="shared" si="2"/>
        <v/>
      </c>
      <c r="P34" s="120">
        <f t="shared" si="2"/>
        <v>76.4507913407313</v>
      </c>
    </row>
    <row r="35" spans="1:16" s="69" customFormat="1">
      <c r="A35" s="70" t="s">
        <v>94</v>
      </c>
      <c r="B35" s="66" t="s">
        <v>93</v>
      </c>
      <c r="C35" s="65">
        <v>3523</v>
      </c>
      <c r="D35" s="65"/>
      <c r="E35" s="65">
        <v>2726</v>
      </c>
      <c r="F35" s="65">
        <v>2168</v>
      </c>
      <c r="G35" s="65">
        <v>558</v>
      </c>
      <c r="H35" s="65">
        <f>SUM(I35:J35)</f>
        <v>1580.607</v>
      </c>
      <c r="I35" s="65">
        <f>7056-3900-1106.393-500</f>
        <v>1549.607</v>
      </c>
      <c r="J35" s="65">
        <v>31</v>
      </c>
      <c r="K35" s="65">
        <f t="shared" si="4"/>
        <v>1717.607</v>
      </c>
      <c r="L35" s="65">
        <f>+H35+100</f>
        <v>1680.607</v>
      </c>
      <c r="M35" s="65">
        <f t="shared" si="11"/>
        <v>37</v>
      </c>
      <c r="N35" s="119">
        <f t="shared" si="1"/>
        <v>48.754101617939256</v>
      </c>
      <c r="O35" s="66" t="str">
        <f t="shared" si="2"/>
        <v/>
      </c>
      <c r="P35" s="119">
        <f t="shared" si="2"/>
        <v>63.008327219369043</v>
      </c>
    </row>
    <row r="36" spans="1:16" s="69" customFormat="1" ht="21.95" customHeight="1">
      <c r="A36" s="70" t="s">
        <v>92</v>
      </c>
      <c r="B36" s="66" t="s">
        <v>91</v>
      </c>
      <c r="C36" s="65">
        <v>247000</v>
      </c>
      <c r="D36" s="65">
        <v>400000</v>
      </c>
      <c r="E36" s="65">
        <v>720000</v>
      </c>
      <c r="F36" s="65">
        <v>630000</v>
      </c>
      <c r="G36" s="65">
        <v>90000</v>
      </c>
      <c r="H36" s="65">
        <f t="shared" si="3"/>
        <v>229897.39300000001</v>
      </c>
      <c r="I36" s="65">
        <f>192938-9+1106.393</f>
        <v>194035.39300000001</v>
      </c>
      <c r="J36" s="65">
        <f>35869-7</f>
        <v>35862</v>
      </c>
      <c r="K36" s="65">
        <f t="shared" si="4"/>
        <v>374120</v>
      </c>
      <c r="L36" s="65">
        <f>340000-2880</f>
        <v>337120</v>
      </c>
      <c r="M36" s="65">
        <v>37000</v>
      </c>
      <c r="N36" s="119">
        <f t="shared" si="1"/>
        <v>151.4655870445344</v>
      </c>
      <c r="O36" s="242">
        <f t="shared" si="2"/>
        <v>93.53</v>
      </c>
      <c r="P36" s="119">
        <f t="shared" si="2"/>
        <v>51.961111111111116</v>
      </c>
    </row>
    <row r="37" spans="1:16" s="69" customFormat="1">
      <c r="A37" s="70" t="s">
        <v>90</v>
      </c>
      <c r="B37" s="66" t="s">
        <v>89</v>
      </c>
      <c r="C37" s="65">
        <v>0</v>
      </c>
      <c r="D37" s="65">
        <v>22537</v>
      </c>
      <c r="E37" s="65">
        <v>29377</v>
      </c>
      <c r="F37" s="65">
        <v>25005</v>
      </c>
      <c r="G37" s="65">
        <v>4372</v>
      </c>
      <c r="H37" s="65">
        <f t="shared" si="3"/>
        <v>2880</v>
      </c>
      <c r="I37" s="65">
        <v>2880</v>
      </c>
      <c r="J37" s="65"/>
      <c r="K37" s="65">
        <f t="shared" si="4"/>
        <v>2880</v>
      </c>
      <c r="L37" s="65">
        <f>+'Chi DP'!E16</f>
        <v>2880</v>
      </c>
      <c r="M37" s="65">
        <f t="shared" si="11"/>
        <v>0</v>
      </c>
      <c r="N37" s="119" t="str">
        <f t="shared" si="1"/>
        <v/>
      </c>
      <c r="O37" s="66">
        <f t="shared" si="2"/>
        <v>12.778985668012602</v>
      </c>
      <c r="P37" s="119">
        <f t="shared" si="2"/>
        <v>9.8035878408278592</v>
      </c>
    </row>
    <row r="38" spans="1:16" s="69" customFormat="1" ht="31.5">
      <c r="A38" s="70" t="s">
        <v>88</v>
      </c>
      <c r="B38" s="66" t="s">
        <v>87</v>
      </c>
      <c r="C38" s="65">
        <v>2378</v>
      </c>
      <c r="D38" s="65"/>
      <c r="E38" s="65">
        <v>3900</v>
      </c>
      <c r="F38" s="65">
        <v>3900</v>
      </c>
      <c r="G38" s="65"/>
      <c r="H38" s="65">
        <f t="shared" si="3"/>
        <v>3900</v>
      </c>
      <c r="I38" s="65">
        <v>3900</v>
      </c>
      <c r="J38" s="65"/>
      <c r="K38" s="65">
        <f t="shared" si="4"/>
        <v>3900</v>
      </c>
      <c r="L38" s="65">
        <v>3900</v>
      </c>
      <c r="M38" s="65">
        <f t="shared" si="11"/>
        <v>0</v>
      </c>
      <c r="N38" s="119">
        <f t="shared" si="1"/>
        <v>164.00336417157274</v>
      </c>
      <c r="O38" s="66" t="str">
        <f t="shared" si="2"/>
        <v/>
      </c>
      <c r="P38" s="119">
        <f t="shared" si="2"/>
        <v>100</v>
      </c>
    </row>
    <row r="39" spans="1:16" s="69" customFormat="1">
      <c r="A39" s="68" t="s">
        <v>86</v>
      </c>
      <c r="B39" s="67" t="s">
        <v>85</v>
      </c>
      <c r="C39" s="65">
        <v>0</v>
      </c>
      <c r="D39" s="65"/>
      <c r="E39" s="65">
        <v>13427</v>
      </c>
      <c r="F39" s="65">
        <v>11372</v>
      </c>
      <c r="G39" s="65">
        <v>2055</v>
      </c>
      <c r="H39" s="65">
        <f t="shared" si="3"/>
        <v>0</v>
      </c>
      <c r="I39" s="65"/>
      <c r="J39" s="65"/>
      <c r="K39" s="65">
        <f t="shared" si="4"/>
        <v>0</v>
      </c>
      <c r="L39" s="65">
        <f t="shared" si="10"/>
        <v>0</v>
      </c>
      <c r="M39" s="65">
        <f t="shared" si="11"/>
        <v>0</v>
      </c>
      <c r="N39" s="119" t="str">
        <f t="shared" si="1"/>
        <v/>
      </c>
      <c r="O39" s="66" t="str">
        <f t="shared" si="2"/>
        <v/>
      </c>
      <c r="P39" s="119">
        <f t="shared" si="2"/>
        <v>0</v>
      </c>
    </row>
    <row r="40" spans="1:16">
      <c r="A40" s="68" t="s">
        <v>84</v>
      </c>
      <c r="B40" s="67" t="s">
        <v>83</v>
      </c>
      <c r="C40" s="65"/>
      <c r="D40" s="66"/>
      <c r="E40" s="65">
        <v>38373</v>
      </c>
      <c r="F40" s="65">
        <v>18068</v>
      </c>
      <c r="G40" s="65">
        <v>20305</v>
      </c>
      <c r="H40" s="65">
        <f t="shared" ref="H40:K40" si="13">SUM(H41:H43)</f>
        <v>59219</v>
      </c>
      <c r="I40" s="65">
        <f t="shared" si="13"/>
        <v>50354</v>
      </c>
      <c r="J40" s="65">
        <f t="shared" si="13"/>
        <v>8865</v>
      </c>
      <c r="K40" s="118">
        <f t="shared" si="13"/>
        <v>68924</v>
      </c>
      <c r="L40" s="118">
        <f t="shared" ref="L40" si="14">SUM(L41:L43)</f>
        <v>58771</v>
      </c>
      <c r="M40" s="118">
        <f t="shared" ref="M40" si="15">SUM(M41:M43)</f>
        <v>10153</v>
      </c>
      <c r="N40" s="119" t="str">
        <f t="shared" si="1"/>
        <v/>
      </c>
      <c r="O40" s="66" t="str">
        <f t="shared" si="2"/>
        <v/>
      </c>
      <c r="P40" s="119">
        <f t="shared" si="2"/>
        <v>179.61587574596723</v>
      </c>
    </row>
    <row r="41" spans="1:16">
      <c r="A41" s="64">
        <v>1</v>
      </c>
      <c r="B41" s="63" t="s">
        <v>82</v>
      </c>
      <c r="C41" s="62"/>
      <c r="D41" s="62">
        <v>19717</v>
      </c>
      <c r="E41" s="62">
        <v>19717</v>
      </c>
      <c r="F41" s="62">
        <v>8740</v>
      </c>
      <c r="G41" s="62">
        <v>10977</v>
      </c>
      <c r="H41" s="62">
        <f t="shared" si="3"/>
        <v>49891</v>
      </c>
      <c r="I41" s="62">
        <f>50354-I42</f>
        <v>45690</v>
      </c>
      <c r="J41" s="62">
        <f>+'DT THU 2023'!J26</f>
        <v>4201</v>
      </c>
      <c r="K41" s="121">
        <f t="shared" ref="K41:K44" si="16">SUM(L41:M41)</f>
        <v>59596</v>
      </c>
      <c r="L41" s="62">
        <f>+'DT THU 2023'!M24+'DT THU 2023'!M26</f>
        <v>54107</v>
      </c>
      <c r="M41" s="62">
        <f>+'DT THU 2023'!M26</f>
        <v>5489</v>
      </c>
      <c r="N41" s="119" t="str">
        <f t="shared" si="1"/>
        <v/>
      </c>
      <c r="O41" s="66">
        <f t="shared" si="2"/>
        <v>302.25693563929605</v>
      </c>
      <c r="P41" s="119">
        <f t="shared" si="2"/>
        <v>302.25693563929605</v>
      </c>
    </row>
    <row r="42" spans="1:16" ht="31.5">
      <c r="A42" s="64">
        <v>2</v>
      </c>
      <c r="B42" s="63" t="s">
        <v>81</v>
      </c>
      <c r="C42" s="62"/>
      <c r="D42" s="62"/>
      <c r="E42" s="62">
        <v>9328</v>
      </c>
      <c r="F42" s="62">
        <v>9328</v>
      </c>
      <c r="G42" s="62"/>
      <c r="H42" s="62">
        <f t="shared" si="3"/>
        <v>4664</v>
      </c>
      <c r="I42" s="62">
        <f>+F42/2</f>
        <v>4664</v>
      </c>
      <c r="J42" s="62"/>
      <c r="K42" s="118">
        <f t="shared" si="16"/>
        <v>4664</v>
      </c>
      <c r="L42" s="62">
        <f>+I42</f>
        <v>4664</v>
      </c>
      <c r="M42" s="63"/>
      <c r="N42" s="120" t="str">
        <f t="shared" si="1"/>
        <v/>
      </c>
      <c r="O42" s="63" t="str">
        <f t="shared" si="2"/>
        <v/>
      </c>
      <c r="P42" s="120">
        <f t="shared" si="2"/>
        <v>50</v>
      </c>
    </row>
    <row r="43" spans="1:16">
      <c r="A43" s="64">
        <v>3</v>
      </c>
      <c r="B43" s="63" t="s">
        <v>80</v>
      </c>
      <c r="C43" s="62"/>
      <c r="D43" s="63"/>
      <c r="E43" s="62">
        <v>9328</v>
      </c>
      <c r="F43" s="62">
        <v>0</v>
      </c>
      <c r="G43" s="62">
        <v>9328</v>
      </c>
      <c r="H43" s="62">
        <f t="shared" si="3"/>
        <v>4664</v>
      </c>
      <c r="I43" s="62"/>
      <c r="J43" s="62">
        <f>+'DT THU 2023'!J27</f>
        <v>4664</v>
      </c>
      <c r="K43" s="118">
        <f t="shared" si="16"/>
        <v>4664</v>
      </c>
      <c r="L43" s="62"/>
      <c r="M43" s="63">
        <f>+'DT THU 2023'!M27</f>
        <v>4664</v>
      </c>
      <c r="N43" s="120" t="str">
        <f t="shared" si="1"/>
        <v/>
      </c>
      <c r="O43" s="63" t="str">
        <f t="shared" si="2"/>
        <v/>
      </c>
      <c r="P43" s="120">
        <f t="shared" si="2"/>
        <v>50</v>
      </c>
    </row>
    <row r="44" spans="1:16" s="69" customFormat="1" ht="31.5">
      <c r="A44" s="104" t="s">
        <v>144</v>
      </c>
      <c r="B44" s="105" t="s">
        <v>145</v>
      </c>
      <c r="C44" s="65"/>
      <c r="D44" s="66"/>
      <c r="E44" s="65"/>
      <c r="F44" s="65"/>
      <c r="G44" s="65"/>
      <c r="H44" s="65">
        <f t="shared" si="3"/>
        <v>36</v>
      </c>
      <c r="I44" s="65">
        <v>0</v>
      </c>
      <c r="J44" s="65">
        <v>36</v>
      </c>
      <c r="K44" s="65">
        <f t="shared" si="16"/>
        <v>36</v>
      </c>
      <c r="L44" s="65">
        <v>0</v>
      </c>
      <c r="M44" s="65">
        <v>36</v>
      </c>
      <c r="N44" s="119" t="str">
        <f t="shared" si="1"/>
        <v/>
      </c>
      <c r="O44" s="66" t="str">
        <f t="shared" si="2"/>
        <v/>
      </c>
      <c r="P44" s="119" t="str">
        <f t="shared" si="2"/>
        <v/>
      </c>
    </row>
    <row r="45" spans="1:16" ht="28.5" customHeight="1">
      <c r="B45" s="280"/>
      <c r="C45" s="281"/>
      <c r="D45" s="281"/>
      <c r="E45" s="281"/>
      <c r="F45" s="281"/>
      <c r="G45" s="281"/>
    </row>
  </sheetData>
  <mergeCells count="14">
    <mergeCell ref="A1:P1"/>
    <mergeCell ref="A3:P3"/>
    <mergeCell ref="A4:G4"/>
    <mergeCell ref="A2:G2"/>
    <mergeCell ref="D28:D29"/>
    <mergeCell ref="C6:C7"/>
    <mergeCell ref="H6:J6"/>
    <mergeCell ref="N6:P6"/>
    <mergeCell ref="K6:M6"/>
    <mergeCell ref="B45:G45"/>
    <mergeCell ref="E6:G6"/>
    <mergeCell ref="A6:A7"/>
    <mergeCell ref="B6:B7"/>
    <mergeCell ref="D6:D7"/>
  </mergeCells>
  <pageMargins left="0.33" right="0.46" top="0.9" bottom="0.48" header="0.3" footer="0.71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2" sqref="A2:F2"/>
    </sheetView>
  </sheetViews>
  <sheetFormatPr defaultRowHeight="18.75"/>
  <cols>
    <col min="1" max="1" width="6" style="106" customWidth="1"/>
    <col min="2" max="2" width="15" style="106" hidden="1" customWidth="1"/>
    <col min="3" max="3" width="30.21875" style="106" bestFit="1" customWidth="1"/>
    <col min="4" max="4" width="14.44140625" style="107" customWidth="1"/>
    <col min="5" max="5" width="9.21875" style="107" bestFit="1" customWidth="1"/>
    <col min="6" max="16384" width="8.88671875" style="106"/>
  </cols>
  <sheetData>
    <row r="1" spans="1:6">
      <c r="A1" s="288" t="s">
        <v>148</v>
      </c>
      <c r="B1" s="288"/>
      <c r="C1" s="288"/>
      <c r="D1" s="288"/>
      <c r="E1" s="288"/>
      <c r="F1" s="288"/>
    </row>
    <row r="2" spans="1:6">
      <c r="A2" s="289" t="str">
        <f>+'DT CHI 2023'!A3</f>
        <v>(Kèm theo Báo cáo số             /BC-UBND ngày      /7   /2023 của UBND huyện)</v>
      </c>
      <c r="B2" s="289"/>
      <c r="C2" s="289"/>
      <c r="D2" s="289"/>
      <c r="E2" s="289"/>
      <c r="F2" s="289"/>
    </row>
    <row r="4" spans="1:6">
      <c r="E4" s="290" t="s">
        <v>26</v>
      </c>
      <c r="F4" s="290"/>
    </row>
    <row r="5" spans="1:6" s="117" customFormat="1" ht="37.5">
      <c r="A5" s="115" t="s">
        <v>25</v>
      </c>
      <c r="B5" s="115" t="s">
        <v>149</v>
      </c>
      <c r="C5" s="115" t="s">
        <v>146</v>
      </c>
      <c r="D5" s="116" t="s">
        <v>75</v>
      </c>
      <c r="E5" s="116" t="s">
        <v>147</v>
      </c>
      <c r="F5" s="115" t="s">
        <v>21</v>
      </c>
    </row>
    <row r="6" spans="1:6" ht="56.25">
      <c r="A6" s="243">
        <v>1</v>
      </c>
      <c r="B6" s="110" t="s">
        <v>150</v>
      </c>
      <c r="C6" s="110" t="s">
        <v>426</v>
      </c>
      <c r="D6" s="244" t="s">
        <v>151</v>
      </c>
      <c r="E6" s="111">
        <v>1500</v>
      </c>
      <c r="F6" s="110"/>
    </row>
    <row r="7" spans="1:6" ht="37.5">
      <c r="A7" s="243">
        <v>2</v>
      </c>
      <c r="B7" s="110" t="s">
        <v>405</v>
      </c>
      <c r="C7" s="110" t="s">
        <v>425</v>
      </c>
      <c r="D7" s="244" t="s">
        <v>424</v>
      </c>
      <c r="E7" s="111">
        <v>10</v>
      </c>
      <c r="F7" s="110"/>
    </row>
    <row r="8" spans="1:6" ht="37.5">
      <c r="A8" s="243">
        <v>3</v>
      </c>
      <c r="B8" s="110" t="s">
        <v>152</v>
      </c>
      <c r="C8" s="110" t="s">
        <v>423</v>
      </c>
      <c r="D8" s="244" t="s">
        <v>153</v>
      </c>
      <c r="E8" s="111">
        <v>5</v>
      </c>
      <c r="F8" s="110"/>
    </row>
    <row r="9" spans="1:6" ht="37.5">
      <c r="A9" s="243">
        <v>4</v>
      </c>
      <c r="B9" s="110" t="s">
        <v>154</v>
      </c>
      <c r="C9" s="110" t="s">
        <v>422</v>
      </c>
      <c r="D9" s="244" t="s">
        <v>155</v>
      </c>
      <c r="E9" s="111">
        <v>15</v>
      </c>
      <c r="F9" s="110"/>
    </row>
    <row r="10" spans="1:6" ht="75">
      <c r="A10" s="243">
        <v>5</v>
      </c>
      <c r="B10" s="110" t="s">
        <v>156</v>
      </c>
      <c r="C10" s="110" t="s">
        <v>421</v>
      </c>
      <c r="D10" s="244" t="s">
        <v>157</v>
      </c>
      <c r="E10" s="111">
        <v>20</v>
      </c>
      <c r="F10" s="110"/>
    </row>
    <row r="11" spans="1:6" s="114" customFormat="1">
      <c r="A11" s="112"/>
      <c r="B11" s="112"/>
      <c r="C11" s="115" t="s">
        <v>143</v>
      </c>
      <c r="D11" s="113"/>
      <c r="E11" s="113">
        <f>SUM(E6:E10)</f>
        <v>1550</v>
      </c>
      <c r="F11" s="112"/>
    </row>
  </sheetData>
  <mergeCells count="3">
    <mergeCell ref="A1:F1"/>
    <mergeCell ref="A2:F2"/>
    <mergeCell ref="E4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>
      <selection activeCell="A2" sqref="A2:F2"/>
    </sheetView>
  </sheetViews>
  <sheetFormatPr defaultRowHeight="15.75"/>
  <cols>
    <col min="1" max="1" width="6" style="91" customWidth="1"/>
    <col min="2" max="2" width="15" style="91" hidden="1" customWidth="1"/>
    <col min="3" max="3" width="19.6640625" style="91" customWidth="1"/>
    <col min="4" max="4" width="28.21875" style="249" customWidth="1"/>
    <col min="5" max="5" width="9.21875" style="249" bestFit="1" customWidth="1"/>
    <col min="6" max="16384" width="8.88671875" style="91"/>
  </cols>
  <sheetData>
    <row r="1" spans="1:6">
      <c r="A1" s="264" t="s">
        <v>430</v>
      </c>
      <c r="B1" s="264"/>
      <c r="C1" s="264"/>
      <c r="D1" s="264"/>
      <c r="E1" s="264"/>
      <c r="F1" s="264"/>
    </row>
    <row r="2" spans="1:6">
      <c r="A2" s="267" t="str">
        <f>+'DT CHI 2023'!A3</f>
        <v>(Kèm theo Báo cáo số             /BC-UBND ngày      /7   /2023 của UBND huyện)</v>
      </c>
      <c r="B2" s="267"/>
      <c r="C2" s="267"/>
      <c r="D2" s="267"/>
      <c r="E2" s="267"/>
      <c r="F2" s="267"/>
    </row>
    <row r="4" spans="1:6">
      <c r="E4" s="291" t="s">
        <v>26</v>
      </c>
      <c r="F4" s="291"/>
    </row>
    <row r="5" spans="1:6" s="247" customFormat="1" ht="48.75" customHeight="1">
      <c r="A5" s="248" t="s">
        <v>25</v>
      </c>
      <c r="B5" s="248" t="s">
        <v>149</v>
      </c>
      <c r="C5" s="250" t="s">
        <v>75</v>
      </c>
      <c r="D5" s="248" t="s">
        <v>146</v>
      </c>
      <c r="E5" s="250" t="s">
        <v>147</v>
      </c>
      <c r="F5" s="248" t="s">
        <v>21</v>
      </c>
    </row>
    <row r="6" spans="1:6" ht="24.75" customHeight="1">
      <c r="A6" s="94">
        <v>1</v>
      </c>
      <c r="B6" s="251" t="s">
        <v>158</v>
      </c>
      <c r="C6" s="99" t="s">
        <v>159</v>
      </c>
      <c r="D6" s="251" t="s">
        <v>429</v>
      </c>
      <c r="E6" s="99">
        <v>500</v>
      </c>
      <c r="F6" s="251"/>
    </row>
    <row r="7" spans="1:6" ht="63">
      <c r="A7" s="94">
        <v>2</v>
      </c>
      <c r="B7" s="251"/>
      <c r="C7" s="99" t="s">
        <v>159</v>
      </c>
      <c r="D7" s="251" t="s">
        <v>428</v>
      </c>
      <c r="E7" s="99">
        <v>115</v>
      </c>
      <c r="F7" s="251"/>
    </row>
    <row r="8" spans="1:6" ht="47.25">
      <c r="A8" s="94">
        <v>3</v>
      </c>
      <c r="B8" s="251" t="s">
        <v>160</v>
      </c>
      <c r="C8" s="99" t="s">
        <v>161</v>
      </c>
      <c r="D8" s="251" t="s">
        <v>162</v>
      </c>
      <c r="E8" s="99">
        <v>400</v>
      </c>
      <c r="F8" s="251"/>
    </row>
    <row r="9" spans="1:6" ht="31.5">
      <c r="A9" s="94">
        <v>4</v>
      </c>
      <c r="B9" s="251" t="s">
        <v>163</v>
      </c>
      <c r="C9" s="99" t="s">
        <v>409</v>
      </c>
      <c r="D9" s="251" t="s">
        <v>164</v>
      </c>
      <c r="E9" s="99">
        <v>288</v>
      </c>
      <c r="F9" s="251"/>
    </row>
    <row r="10" spans="1:6" ht="31.5">
      <c r="A10" s="94">
        <v>5</v>
      </c>
      <c r="B10" s="251" t="s">
        <v>165</v>
      </c>
      <c r="C10" s="99" t="s">
        <v>166</v>
      </c>
      <c r="D10" s="251" t="s">
        <v>167</v>
      </c>
      <c r="E10" s="99">
        <v>735</v>
      </c>
      <c r="F10" s="251"/>
    </row>
    <row r="11" spans="1:6" ht="31.5">
      <c r="A11" s="94">
        <v>6</v>
      </c>
      <c r="B11" s="251" t="s">
        <v>168</v>
      </c>
      <c r="C11" s="99" t="s">
        <v>166</v>
      </c>
      <c r="D11" s="251" t="s">
        <v>169</v>
      </c>
      <c r="E11" s="99">
        <v>430</v>
      </c>
      <c r="F11" s="251"/>
    </row>
    <row r="12" spans="1:6" ht="47.25">
      <c r="A12" s="94">
        <v>7</v>
      </c>
      <c r="B12" s="251"/>
      <c r="C12" s="99" t="s">
        <v>415</v>
      </c>
      <c r="D12" s="251" t="s">
        <v>416</v>
      </c>
      <c r="E12" s="99">
        <v>112</v>
      </c>
      <c r="F12" s="251"/>
    </row>
    <row r="13" spans="1:6" ht="31.5">
      <c r="A13" s="94">
        <v>8</v>
      </c>
      <c r="B13" s="251"/>
      <c r="C13" s="99" t="s">
        <v>417</v>
      </c>
      <c r="D13" s="251" t="s">
        <v>418</v>
      </c>
      <c r="E13" s="99">
        <v>88</v>
      </c>
      <c r="F13" s="251"/>
    </row>
    <row r="14" spans="1:6" ht="63">
      <c r="A14" s="94">
        <v>9</v>
      </c>
      <c r="B14" s="251"/>
      <c r="C14" s="99" t="s">
        <v>417</v>
      </c>
      <c r="D14" s="251" t="s">
        <v>427</v>
      </c>
      <c r="E14" s="99">
        <v>100</v>
      </c>
      <c r="F14" s="251"/>
    </row>
    <row r="15" spans="1:6" ht="47.25">
      <c r="A15" s="94">
        <v>10</v>
      </c>
      <c r="B15" s="251"/>
      <c r="C15" s="99" t="s">
        <v>415</v>
      </c>
      <c r="D15" s="251" t="s">
        <v>419</v>
      </c>
      <c r="E15" s="99">
        <v>112</v>
      </c>
      <c r="F15" s="251"/>
    </row>
    <row r="16" spans="1:6" s="253" customFormat="1">
      <c r="A16" s="95"/>
      <c r="B16" s="95"/>
      <c r="C16" s="252"/>
      <c r="D16" s="248" t="s">
        <v>143</v>
      </c>
      <c r="E16" s="252">
        <f>SUM(E6:E15)</f>
        <v>2880</v>
      </c>
      <c r="F16" s="95"/>
    </row>
  </sheetData>
  <mergeCells count="3">
    <mergeCell ref="A1:F1"/>
    <mergeCell ref="A2:F2"/>
    <mergeCell ref="E4:F4"/>
  </mergeCells>
  <pageMargins left="0.7" right="0.7" top="0.75" bottom="0.75" header="0.3" footer="0.3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O300"/>
  <sheetViews>
    <sheetView zoomScale="85" zoomScaleNormal="85" workbookViewId="0">
      <pane ySplit="4" topLeftCell="A5" activePane="bottomLeft" state="frozen"/>
      <selection pane="bottomLeft" activeCell="E3" sqref="E3:E4"/>
    </sheetView>
  </sheetViews>
  <sheetFormatPr defaultRowHeight="16.5"/>
  <cols>
    <col min="1" max="1" width="6.44140625" style="124" customWidth="1"/>
    <col min="2" max="2" width="34.88671875" style="124" customWidth="1"/>
    <col min="3" max="3" width="6.88671875" style="124" customWidth="1"/>
    <col min="4" max="4" width="11.44140625" style="124" customWidth="1"/>
    <col min="5" max="5" width="10.33203125" style="124" customWidth="1"/>
    <col min="6" max="6" width="10.77734375" style="124" customWidth="1"/>
    <col min="7" max="7" width="10.6640625" style="124" customWidth="1"/>
    <col min="8" max="8" width="7.6640625" style="124" hidden="1" customWidth="1"/>
    <col min="9" max="9" width="8.44140625" style="124" hidden="1" customWidth="1"/>
    <col min="10" max="10" width="7.88671875" style="124" customWidth="1"/>
    <col min="11" max="11" width="10.21875" style="124" customWidth="1"/>
    <col min="12" max="12" width="7.5546875" style="124" customWidth="1"/>
    <col min="13" max="13" width="10.88671875" style="124" hidden="1" customWidth="1"/>
    <col min="14" max="14" width="12.33203125" style="124" customWidth="1"/>
    <col min="15" max="15" width="12.5546875" style="124" hidden="1" customWidth="1"/>
    <col min="16" max="16" width="8.88671875" style="124" customWidth="1"/>
    <col min="17" max="16384" width="8.88671875" style="124"/>
  </cols>
  <sheetData>
    <row r="1" spans="1:15" ht="22.5" customHeight="1">
      <c r="A1" s="293" t="str">
        <f>UPPER("ƯỚC TÌNH HÌNH nợ đọng  XDCB ĐẾN THÁNG 6/2023")</f>
        <v>ƯỚC TÌNH HÌNH NỢ ĐỌNG  XDCB ĐẾN THÁNG 6/2023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:15" ht="21.75" customHeight="1">
      <c r="A2" s="241"/>
      <c r="B2" s="241"/>
      <c r="C2" s="241"/>
      <c r="D2" s="241"/>
      <c r="E2" s="241"/>
      <c r="F2" s="241"/>
      <c r="G2" s="241"/>
      <c r="H2" s="241"/>
      <c r="I2" s="294" t="s">
        <v>404</v>
      </c>
      <c r="J2" s="294"/>
      <c r="K2" s="294"/>
      <c r="L2" s="294"/>
      <c r="M2" s="294"/>
      <c r="N2" s="240"/>
      <c r="O2" s="240"/>
    </row>
    <row r="3" spans="1:15" s="154" customFormat="1" ht="27" customHeight="1">
      <c r="A3" s="295" t="s">
        <v>25</v>
      </c>
      <c r="B3" s="295" t="s">
        <v>403</v>
      </c>
      <c r="C3" s="296" t="s">
        <v>402</v>
      </c>
      <c r="D3" s="296" t="s">
        <v>401</v>
      </c>
      <c r="E3" s="296" t="s">
        <v>400</v>
      </c>
      <c r="F3" s="296" t="s">
        <v>399</v>
      </c>
      <c r="G3" s="292" t="s">
        <v>431</v>
      </c>
      <c r="H3" s="292"/>
      <c r="I3" s="292"/>
      <c r="J3" s="292"/>
      <c r="K3" s="292"/>
      <c r="L3" s="292"/>
      <c r="M3" s="292" t="s">
        <v>398</v>
      </c>
      <c r="N3" s="297" t="s">
        <v>420</v>
      </c>
      <c r="O3" s="235"/>
    </row>
    <row r="4" spans="1:15" s="154" customFormat="1" ht="111.75" customHeight="1">
      <c r="A4" s="295"/>
      <c r="B4" s="295"/>
      <c r="C4" s="296"/>
      <c r="D4" s="296"/>
      <c r="E4" s="296"/>
      <c r="F4" s="296"/>
      <c r="G4" s="238" t="s">
        <v>397</v>
      </c>
      <c r="H4" s="238" t="s">
        <v>396</v>
      </c>
      <c r="I4" s="238" t="s">
        <v>395</v>
      </c>
      <c r="J4" s="238" t="s">
        <v>394</v>
      </c>
      <c r="K4" s="238" t="s">
        <v>393</v>
      </c>
      <c r="L4" s="238" t="s">
        <v>392</v>
      </c>
      <c r="M4" s="292"/>
      <c r="N4" s="298"/>
      <c r="O4" s="238" t="s">
        <v>391</v>
      </c>
    </row>
    <row r="5" spans="1:15" s="154" customFormat="1">
      <c r="A5" s="158">
        <v>1</v>
      </c>
      <c r="B5" s="158">
        <v>2</v>
      </c>
      <c r="C5" s="158">
        <v>3</v>
      </c>
      <c r="D5" s="158">
        <v>4</v>
      </c>
      <c r="E5" s="158">
        <v>5</v>
      </c>
      <c r="F5" s="158">
        <v>6</v>
      </c>
      <c r="G5" s="239" t="s">
        <v>390</v>
      </c>
      <c r="H5" s="158">
        <v>8</v>
      </c>
      <c r="I5" s="158">
        <v>10</v>
      </c>
      <c r="J5" s="158">
        <v>11</v>
      </c>
      <c r="K5" s="158">
        <v>12</v>
      </c>
      <c r="L5" s="158">
        <v>13</v>
      </c>
      <c r="M5" s="158">
        <v>14</v>
      </c>
      <c r="N5" s="158"/>
      <c r="O5" s="158"/>
    </row>
    <row r="6" spans="1:15">
      <c r="A6" s="236"/>
      <c r="B6" s="238" t="s">
        <v>50</v>
      </c>
      <c r="C6" s="217">
        <f>+C10+C25</f>
        <v>104</v>
      </c>
      <c r="D6" s="217">
        <f>+D10+D25</f>
        <v>453701.52600000001</v>
      </c>
      <c r="E6" s="217">
        <f>+E10+E25</f>
        <v>360996.28700000001</v>
      </c>
      <c r="F6" s="217">
        <f>+F10+F25</f>
        <v>382636.99</v>
      </c>
      <c r="G6" s="217">
        <f>+G10+G25</f>
        <v>44343.113000000005</v>
      </c>
      <c r="H6" s="217"/>
      <c r="I6" s="217"/>
      <c r="J6" s="217">
        <f t="shared" ref="J6:O6" si="0">+J10+J25</f>
        <v>0</v>
      </c>
      <c r="K6" s="217">
        <f t="shared" si="0"/>
        <v>44343.113000000005</v>
      </c>
      <c r="L6" s="217">
        <f t="shared" si="0"/>
        <v>0</v>
      </c>
      <c r="M6" s="217">
        <f t="shared" si="0"/>
        <v>151480.05290000001</v>
      </c>
      <c r="N6" s="217">
        <f t="shared" si="0"/>
        <v>44343.113000000005</v>
      </c>
      <c r="O6" s="217">
        <f t="shared" si="0"/>
        <v>107136.9399</v>
      </c>
    </row>
    <row r="7" spans="1:15">
      <c r="A7" s="158" t="s">
        <v>414</v>
      </c>
      <c r="B7" s="130" t="s">
        <v>215</v>
      </c>
      <c r="C7" s="229"/>
      <c r="D7" s="237"/>
      <c r="E7" s="229"/>
      <c r="F7" s="229"/>
      <c r="G7" s="229"/>
      <c r="H7" s="216"/>
      <c r="I7" s="216"/>
      <c r="J7" s="229"/>
      <c r="K7" s="229"/>
      <c r="L7" s="131"/>
      <c r="M7" s="131"/>
      <c r="N7" s="131"/>
      <c r="O7" s="131"/>
    </row>
    <row r="8" spans="1:15" ht="39" hidden="1" customHeight="1">
      <c r="A8" s="158" t="s">
        <v>214</v>
      </c>
      <c r="B8" s="231" t="s">
        <v>213</v>
      </c>
      <c r="C8" s="229"/>
      <c r="D8" s="229"/>
      <c r="E8" s="229"/>
      <c r="F8" s="229"/>
      <c r="G8" s="229"/>
      <c r="H8" s="230"/>
      <c r="I8" s="230"/>
      <c r="J8" s="229"/>
      <c r="K8" s="229"/>
      <c r="L8" s="131"/>
      <c r="M8" s="131"/>
      <c r="N8" s="131"/>
      <c r="O8" s="131"/>
    </row>
    <row r="9" spans="1:15" s="188" customFormat="1" hidden="1">
      <c r="A9" s="225" t="s">
        <v>214</v>
      </c>
      <c r="B9" s="224" t="s">
        <v>212</v>
      </c>
      <c r="C9" s="222"/>
      <c r="D9" s="222"/>
      <c r="E9" s="222"/>
      <c r="F9" s="222"/>
      <c r="G9" s="223"/>
      <c r="H9" s="222"/>
      <c r="I9" s="222"/>
      <c r="J9" s="222"/>
      <c r="K9" s="222"/>
      <c r="L9" s="221"/>
      <c r="M9" s="221"/>
      <c r="N9" s="221"/>
      <c r="O9" s="221"/>
    </row>
    <row r="10" spans="1:15" ht="24.95" customHeight="1">
      <c r="A10" s="236" t="s">
        <v>389</v>
      </c>
      <c r="B10" s="235" t="s">
        <v>388</v>
      </c>
      <c r="C10" s="217">
        <f>C14+C17+C23</f>
        <v>7</v>
      </c>
      <c r="D10" s="217">
        <f>D14+D17+D23</f>
        <v>97421.2</v>
      </c>
      <c r="E10" s="217">
        <f>E14+E17+E23</f>
        <v>66960.505000000005</v>
      </c>
      <c r="F10" s="217">
        <f>F14+F17+F23</f>
        <v>44387.494999999995</v>
      </c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>
      <c r="A11" s="158" t="s">
        <v>414</v>
      </c>
      <c r="B11" s="130" t="s">
        <v>215</v>
      </c>
      <c r="C11" s="229">
        <f>C14</f>
        <v>2</v>
      </c>
      <c r="D11" s="229">
        <f>D14</f>
        <v>22301</v>
      </c>
      <c r="E11" s="229">
        <f>E14</f>
        <v>18760.505000000001</v>
      </c>
      <c r="F11" s="229">
        <f>F14</f>
        <v>19680.120999999999</v>
      </c>
      <c r="G11" s="229"/>
      <c r="H11" s="216"/>
      <c r="I11" s="216"/>
      <c r="J11" s="229"/>
      <c r="K11" s="229"/>
      <c r="L11" s="229"/>
      <c r="M11" s="229"/>
      <c r="N11" s="229"/>
      <c r="O11" s="229"/>
    </row>
    <row r="12" spans="1:15" ht="33" hidden="1">
      <c r="A12" s="158" t="s">
        <v>214</v>
      </c>
      <c r="B12" s="231" t="s">
        <v>213</v>
      </c>
      <c r="C12" s="229">
        <f t="shared" ref="C12:M12" si="1">C17</f>
        <v>5</v>
      </c>
      <c r="D12" s="229">
        <f t="shared" si="1"/>
        <v>75120.2</v>
      </c>
      <c r="E12" s="229">
        <f t="shared" si="1"/>
        <v>48200</v>
      </c>
      <c r="F12" s="229">
        <f t="shared" si="1"/>
        <v>24707.374</v>
      </c>
      <c r="G12" s="229">
        <f t="shared" si="1"/>
        <v>0</v>
      </c>
      <c r="H12" s="230">
        <f t="shared" si="1"/>
        <v>0</v>
      </c>
      <c r="I12" s="230">
        <f t="shared" si="1"/>
        <v>0</v>
      </c>
      <c r="J12" s="229">
        <f t="shared" si="1"/>
        <v>0</v>
      </c>
      <c r="K12" s="229">
        <f t="shared" si="1"/>
        <v>0</v>
      </c>
      <c r="L12" s="229">
        <f t="shared" si="1"/>
        <v>0</v>
      </c>
      <c r="M12" s="229">
        <f t="shared" si="1"/>
        <v>0</v>
      </c>
      <c r="N12" s="229"/>
      <c r="O12" s="229"/>
    </row>
    <row r="13" spans="1:15" hidden="1">
      <c r="A13" s="158" t="s">
        <v>214</v>
      </c>
      <c r="B13" s="231" t="s">
        <v>212</v>
      </c>
      <c r="C13" s="229">
        <f t="shared" ref="C13:M13" si="2">C23</f>
        <v>0</v>
      </c>
      <c r="D13" s="229">
        <f t="shared" si="2"/>
        <v>0</v>
      </c>
      <c r="E13" s="229">
        <f t="shared" si="2"/>
        <v>0</v>
      </c>
      <c r="F13" s="229">
        <f t="shared" si="2"/>
        <v>0</v>
      </c>
      <c r="G13" s="229">
        <f t="shared" si="2"/>
        <v>0</v>
      </c>
      <c r="H13" s="229">
        <f t="shared" si="2"/>
        <v>0</v>
      </c>
      <c r="I13" s="229">
        <f t="shared" si="2"/>
        <v>0</v>
      </c>
      <c r="J13" s="229">
        <f t="shared" si="2"/>
        <v>0</v>
      </c>
      <c r="K13" s="229">
        <f t="shared" si="2"/>
        <v>0</v>
      </c>
      <c r="L13" s="229">
        <f t="shared" si="2"/>
        <v>0</v>
      </c>
      <c r="M13" s="229">
        <f t="shared" si="2"/>
        <v>0</v>
      </c>
      <c r="N13" s="229"/>
      <c r="O13" s="229"/>
    </row>
    <row r="14" spans="1:15" ht="17.25">
      <c r="A14" s="158" t="s">
        <v>414</v>
      </c>
      <c r="B14" s="130" t="s">
        <v>215</v>
      </c>
      <c r="C14" s="229">
        <f>SUM(C15:C16)</f>
        <v>2</v>
      </c>
      <c r="D14" s="229">
        <f>SUM(D15:D16)</f>
        <v>22301</v>
      </c>
      <c r="E14" s="229">
        <f>SUM(E15:E16)</f>
        <v>18760.505000000001</v>
      </c>
      <c r="F14" s="229">
        <f>SUM(F15:F16)</f>
        <v>19680.120999999999</v>
      </c>
      <c r="G14" s="229"/>
      <c r="H14" s="230"/>
      <c r="I14" s="230"/>
      <c r="J14" s="229"/>
      <c r="K14" s="229"/>
      <c r="L14" s="229"/>
      <c r="M14" s="229"/>
      <c r="N14" s="229"/>
      <c r="O14" s="229"/>
    </row>
    <row r="15" spans="1:15" s="142" customFormat="1" ht="33" hidden="1">
      <c r="A15" s="220"/>
      <c r="B15" s="234" t="s">
        <v>387</v>
      </c>
      <c r="C15" s="216">
        <v>1</v>
      </c>
      <c r="D15" s="218">
        <v>17000</v>
      </c>
      <c r="E15" s="216">
        <v>15000</v>
      </c>
      <c r="F15" s="216">
        <v>15919.616</v>
      </c>
      <c r="G15" s="223"/>
      <c r="H15" s="216"/>
      <c r="I15" s="216"/>
      <c r="J15" s="216"/>
      <c r="K15" s="216"/>
      <c r="L15" s="216"/>
      <c r="M15" s="233"/>
      <c r="N15" s="233"/>
      <c r="O15" s="233"/>
    </row>
    <row r="16" spans="1:15" s="142" customFormat="1" ht="49.5" hidden="1">
      <c r="A16" s="220"/>
      <c r="B16" s="219" t="str">
        <f>+'[2]Biểu 4 (QT)'!B12</f>
        <v>Xây dựng CSHT Cụm dân cư Cửa Lề, thôn Tân Tiến, xã Song Vân, huyện Tân Yên (GĐ2)</v>
      </c>
      <c r="C16" s="232">
        <v>1</v>
      </c>
      <c r="D16" s="226">
        <f>+'[2]Biểu 1a (XDCB'!D14</f>
        <v>5301</v>
      </c>
      <c r="E16" s="227">
        <v>3760.5050000000001</v>
      </c>
      <c r="F16" s="227">
        <f>+E16</f>
        <v>3760.5050000000001</v>
      </c>
      <c r="G16" s="217"/>
      <c r="H16" s="216"/>
      <c r="I16" s="216"/>
      <c r="J16" s="216"/>
      <c r="K16" s="216"/>
      <c r="L16" s="215"/>
      <c r="M16" s="215"/>
      <c r="N16" s="215"/>
      <c r="O16" s="215"/>
    </row>
    <row r="17" spans="1:15" ht="33" hidden="1">
      <c r="A17" s="158" t="s">
        <v>214</v>
      </c>
      <c r="B17" s="231" t="s">
        <v>213</v>
      </c>
      <c r="C17" s="229">
        <f t="shared" ref="C17:M17" si="3">SUM(C18:C22)</f>
        <v>5</v>
      </c>
      <c r="D17" s="229">
        <f t="shared" si="3"/>
        <v>75120.2</v>
      </c>
      <c r="E17" s="229">
        <f t="shared" si="3"/>
        <v>48200</v>
      </c>
      <c r="F17" s="229">
        <f t="shared" si="3"/>
        <v>24707.374</v>
      </c>
      <c r="G17" s="229">
        <f t="shared" si="3"/>
        <v>0</v>
      </c>
      <c r="H17" s="230">
        <f t="shared" si="3"/>
        <v>0</v>
      </c>
      <c r="I17" s="230">
        <f t="shared" si="3"/>
        <v>0</v>
      </c>
      <c r="J17" s="229">
        <f t="shared" si="3"/>
        <v>0</v>
      </c>
      <c r="K17" s="229">
        <f t="shared" si="3"/>
        <v>0</v>
      </c>
      <c r="L17" s="229">
        <f t="shared" si="3"/>
        <v>0</v>
      </c>
      <c r="M17" s="229">
        <f t="shared" si="3"/>
        <v>0</v>
      </c>
      <c r="N17" s="229"/>
      <c r="O17" s="229"/>
    </row>
    <row r="18" spans="1:15" s="142" customFormat="1" ht="49.5" hidden="1">
      <c r="A18" s="220"/>
      <c r="B18" s="219" t="s">
        <v>386</v>
      </c>
      <c r="C18" s="216">
        <v>1</v>
      </c>
      <c r="D18" s="222">
        <v>50275</v>
      </c>
      <c r="E18" s="222">
        <v>46000</v>
      </c>
      <c r="F18" s="216">
        <v>22800</v>
      </c>
      <c r="G18" s="217">
        <f>H18+I18+J18+K18+L18</f>
        <v>0</v>
      </c>
      <c r="H18" s="216"/>
      <c r="I18" s="216"/>
      <c r="J18" s="216">
        <v>0</v>
      </c>
      <c r="K18" s="216"/>
      <c r="L18" s="215"/>
      <c r="M18" s="218">
        <f>G18</f>
        <v>0</v>
      </c>
      <c r="N18" s="218"/>
      <c r="O18" s="218"/>
    </row>
    <row r="19" spans="1:15" s="142" customFormat="1" ht="49.5" hidden="1">
      <c r="A19" s="220"/>
      <c r="B19" s="219" t="str">
        <f>+'[2]Biểu 1a (XDCB'!B13</f>
        <v>Xây dựng cơ sở hạ tầng cụm dân cư Đồng Dộc, thôn Lý Cốt, xã Phúc Sơn, huyện Tân Yên</v>
      </c>
      <c r="C19" s="216">
        <v>1</v>
      </c>
      <c r="D19" s="226">
        <f>+'[2]Biểu 1a (XDCB'!D13</f>
        <v>6038.4</v>
      </c>
      <c r="E19" s="228">
        <v>1200</v>
      </c>
      <c r="F19" s="227">
        <v>1124.53</v>
      </c>
      <c r="G19" s="217">
        <f>H19+I19+J19+K19+L19</f>
        <v>0</v>
      </c>
      <c r="H19" s="216"/>
      <c r="I19" s="216"/>
      <c r="J19" s="216">
        <v>0</v>
      </c>
      <c r="K19" s="216"/>
      <c r="L19" s="215"/>
      <c r="M19" s="218">
        <f>G19</f>
        <v>0</v>
      </c>
      <c r="N19" s="218"/>
      <c r="O19" s="218"/>
    </row>
    <row r="20" spans="1:15" s="142" customFormat="1" ht="49.5" hidden="1">
      <c r="A20" s="220"/>
      <c r="B20" s="219" t="str">
        <f>+'[2]Biểu 1a (XDCB'!B14</f>
        <v>Xây dựng CSHT Cụm dân cư Cửa Lề, thôn Tân Tiến, xã Song Vân, huyện Tân Yên (GĐ2)</v>
      </c>
      <c r="C20" s="216">
        <v>1</v>
      </c>
      <c r="D20" s="226">
        <f>+'[2]Biểu 1a (XDCB'!D14</f>
        <v>5301</v>
      </c>
      <c r="E20" s="228">
        <v>1000</v>
      </c>
      <c r="F20" s="227">
        <v>782.84400000000005</v>
      </c>
      <c r="G20" s="217">
        <f>H20+I20+J20+K20+L20</f>
        <v>0</v>
      </c>
      <c r="H20" s="216"/>
      <c r="I20" s="216"/>
      <c r="J20" s="216">
        <v>0</v>
      </c>
      <c r="K20" s="216"/>
      <c r="L20" s="215"/>
      <c r="M20" s="218">
        <f>G20</f>
        <v>0</v>
      </c>
      <c r="N20" s="218"/>
      <c r="O20" s="218"/>
    </row>
    <row r="21" spans="1:15" s="142" customFormat="1" ht="33" hidden="1">
      <c r="A21" s="220"/>
      <c r="B21" s="219" t="str">
        <f>+'[2]Biểu 1a (XDCB'!B17</f>
        <v>Xây dựng CSHT Cụm dân cư Cống gạch thôn Quang Lâm, xã Đại Hóa</v>
      </c>
      <c r="C21" s="216">
        <v>1</v>
      </c>
      <c r="D21" s="226">
        <f>+'[2]Biểu 1a (XDCB'!D17</f>
        <v>7394.5</v>
      </c>
      <c r="E21" s="216"/>
      <c r="F21" s="216"/>
      <c r="G21" s="217">
        <f>H21+I21+J21+K21+L21</f>
        <v>0</v>
      </c>
      <c r="H21" s="216"/>
      <c r="I21" s="216"/>
      <c r="J21" s="216"/>
      <c r="K21" s="216"/>
      <c r="L21" s="215"/>
      <c r="M21" s="218">
        <f>G21</f>
        <v>0</v>
      </c>
      <c r="N21" s="218"/>
      <c r="O21" s="218"/>
    </row>
    <row r="22" spans="1:15" s="142" customFormat="1" ht="33" hidden="1">
      <c r="A22" s="220"/>
      <c r="B22" s="219" t="str">
        <f>+'[2]Biểu 1a (XDCB'!B18</f>
        <v>Khu đô thị Đồng cửa đầu (chuyển mục đích từ đất TMDV)</v>
      </c>
      <c r="C22" s="216">
        <v>1</v>
      </c>
      <c r="D22" s="226">
        <f>+'[2]Biểu 1a (XDCB'!D18</f>
        <v>6111.3</v>
      </c>
      <c r="E22" s="216"/>
      <c r="F22" s="216"/>
      <c r="G22" s="217">
        <f>H22+I22+J22+K22+L22</f>
        <v>0</v>
      </c>
      <c r="H22" s="216"/>
      <c r="I22" s="216"/>
      <c r="J22" s="216"/>
      <c r="K22" s="216"/>
      <c r="L22" s="215"/>
      <c r="M22" s="218">
        <f>G22</f>
        <v>0</v>
      </c>
      <c r="N22" s="218"/>
      <c r="O22" s="218"/>
    </row>
    <row r="23" spans="1:15" s="188" customFormat="1" hidden="1">
      <c r="A23" s="225"/>
      <c r="B23" s="224" t="s">
        <v>212</v>
      </c>
      <c r="C23" s="222"/>
      <c r="D23" s="222"/>
      <c r="E23" s="222"/>
      <c r="F23" s="222"/>
      <c r="G23" s="223"/>
      <c r="H23" s="222"/>
      <c r="I23" s="222"/>
      <c r="J23" s="222"/>
      <c r="K23" s="222"/>
      <c r="L23" s="221"/>
      <c r="M23" s="221"/>
      <c r="N23" s="221"/>
      <c r="O23" s="221"/>
    </row>
    <row r="24" spans="1:15" s="142" customFormat="1" hidden="1">
      <c r="A24" s="220"/>
      <c r="B24" s="219" t="s">
        <v>385</v>
      </c>
      <c r="C24" s="216"/>
      <c r="D24" s="218"/>
      <c r="E24" s="216"/>
      <c r="F24" s="216"/>
      <c r="G24" s="217"/>
      <c r="H24" s="216"/>
      <c r="I24" s="216"/>
      <c r="J24" s="216"/>
      <c r="K24" s="216"/>
      <c r="L24" s="215"/>
      <c r="M24" s="215"/>
      <c r="N24" s="215"/>
      <c r="O24" s="215"/>
    </row>
    <row r="25" spans="1:15" ht="24.95" customHeight="1">
      <c r="A25" s="146" t="s">
        <v>384</v>
      </c>
      <c r="B25" s="145" t="s">
        <v>383</v>
      </c>
      <c r="C25" s="143">
        <f t="shared" ref="C25:G25" si="4">+C26</f>
        <v>97</v>
      </c>
      <c r="D25" s="143">
        <f t="shared" si="4"/>
        <v>356280.326</v>
      </c>
      <c r="E25" s="143">
        <f t="shared" si="4"/>
        <v>294035.78200000001</v>
      </c>
      <c r="F25" s="143">
        <f t="shared" si="4"/>
        <v>338249.495</v>
      </c>
      <c r="G25" s="143">
        <f t="shared" si="4"/>
        <v>44343.113000000005</v>
      </c>
      <c r="H25" s="143">
        <f t="shared" ref="H25:O25" si="5">H26+H27+H28</f>
        <v>0</v>
      </c>
      <c r="I25" s="143">
        <f t="shared" si="5"/>
        <v>0</v>
      </c>
      <c r="J25" s="143">
        <f t="shared" ref="J25:L25" si="6">+J26</f>
        <v>0</v>
      </c>
      <c r="K25" s="143">
        <f t="shared" si="6"/>
        <v>44343.113000000005</v>
      </c>
      <c r="L25" s="143">
        <f t="shared" si="6"/>
        <v>0</v>
      </c>
      <c r="M25" s="143">
        <f t="shared" si="5"/>
        <v>151480.05290000001</v>
      </c>
      <c r="N25" s="143">
        <f>+N26</f>
        <v>44343.113000000005</v>
      </c>
      <c r="O25" s="143">
        <f t="shared" si="5"/>
        <v>107136.9399</v>
      </c>
    </row>
    <row r="26" spans="1:15">
      <c r="A26" s="158" t="s">
        <v>414</v>
      </c>
      <c r="B26" s="152" t="s">
        <v>215</v>
      </c>
      <c r="C26" s="156">
        <f t="shared" ref="C26:O26" si="7">C30+C35+C40+C55+C70+C84+C93+C102+C110+C125+C138+C153+C176+C184+C194+C200+C216+C228+C246+C255+C269+C282</f>
        <v>97</v>
      </c>
      <c r="D26" s="156">
        <f t="shared" si="7"/>
        <v>356280.326</v>
      </c>
      <c r="E26" s="156">
        <f t="shared" si="7"/>
        <v>294035.78200000001</v>
      </c>
      <c r="F26" s="156">
        <f t="shared" si="7"/>
        <v>338249.495</v>
      </c>
      <c r="G26" s="156">
        <f t="shared" si="7"/>
        <v>44343.113000000005</v>
      </c>
      <c r="H26" s="162">
        <f t="shared" si="7"/>
        <v>0</v>
      </c>
      <c r="I26" s="162">
        <f t="shared" si="7"/>
        <v>0</v>
      </c>
      <c r="J26" s="156">
        <f t="shared" si="7"/>
        <v>0</v>
      </c>
      <c r="K26" s="156">
        <f t="shared" si="7"/>
        <v>44343.113000000005</v>
      </c>
      <c r="L26" s="156">
        <f t="shared" si="7"/>
        <v>0</v>
      </c>
      <c r="M26" s="156">
        <f t="shared" si="7"/>
        <v>44343.113000000005</v>
      </c>
      <c r="N26" s="156">
        <f t="shared" si="7"/>
        <v>44343.113000000005</v>
      </c>
      <c r="O26" s="156">
        <f t="shared" si="7"/>
        <v>0</v>
      </c>
    </row>
    <row r="27" spans="1:15" ht="31.5" hidden="1">
      <c r="A27" s="158" t="s">
        <v>214</v>
      </c>
      <c r="B27" s="157" t="s">
        <v>213</v>
      </c>
      <c r="C27" s="156">
        <f t="shared" ref="C27:O27" si="8">C31+C37+C50+C64+C73+C86+C100+C103+C113+C130+C147+C159+C180+C189+C196+C210+C220+C238+C247+C256+C279+C297</f>
        <v>50</v>
      </c>
      <c r="D27" s="156">
        <f t="shared" si="8"/>
        <v>296693.33</v>
      </c>
      <c r="E27" s="156">
        <f t="shared" si="8"/>
        <v>201261</v>
      </c>
      <c r="F27" s="156">
        <f t="shared" si="8"/>
        <v>271535.58990000002</v>
      </c>
      <c r="G27" s="156">
        <f t="shared" si="8"/>
        <v>70274.589900000006</v>
      </c>
      <c r="H27" s="162">
        <f t="shared" si="8"/>
        <v>0</v>
      </c>
      <c r="I27" s="162">
        <f t="shared" si="8"/>
        <v>0</v>
      </c>
      <c r="J27" s="156">
        <f t="shared" si="8"/>
        <v>0</v>
      </c>
      <c r="K27" s="156">
        <f t="shared" si="8"/>
        <v>70274.589900000006</v>
      </c>
      <c r="L27" s="156">
        <f t="shared" si="8"/>
        <v>0</v>
      </c>
      <c r="M27" s="156">
        <f t="shared" si="8"/>
        <v>70274.589900000006</v>
      </c>
      <c r="N27" s="156">
        <f t="shared" si="8"/>
        <v>0</v>
      </c>
      <c r="O27" s="156">
        <f t="shared" si="8"/>
        <v>70274.589900000006</v>
      </c>
    </row>
    <row r="28" spans="1:15" hidden="1">
      <c r="A28" s="153" t="s">
        <v>214</v>
      </c>
      <c r="B28" s="157" t="s">
        <v>212</v>
      </c>
      <c r="C28" s="156">
        <f t="shared" ref="C28:O28" si="9">C67+C77+C89+C104+C119+C135+C149+C174+C181+C192+C197+C214+C223+C241+C257+C280+C298</f>
        <v>34</v>
      </c>
      <c r="D28" s="156">
        <f t="shared" si="9"/>
        <v>173436.29399999999</v>
      </c>
      <c r="E28" s="156">
        <f t="shared" si="9"/>
        <v>68269.350000000006</v>
      </c>
      <c r="F28" s="156">
        <f t="shared" si="9"/>
        <v>105131.7</v>
      </c>
      <c r="G28" s="156">
        <f t="shared" si="9"/>
        <v>36862.35</v>
      </c>
      <c r="H28" s="162">
        <f t="shared" si="9"/>
        <v>0</v>
      </c>
      <c r="I28" s="162">
        <f t="shared" si="9"/>
        <v>0</v>
      </c>
      <c r="J28" s="156">
        <f t="shared" si="9"/>
        <v>0</v>
      </c>
      <c r="K28" s="156">
        <f t="shared" si="9"/>
        <v>36862.35</v>
      </c>
      <c r="L28" s="156">
        <f t="shared" si="9"/>
        <v>0</v>
      </c>
      <c r="M28" s="156">
        <f t="shared" si="9"/>
        <v>36862.35</v>
      </c>
      <c r="N28" s="156">
        <f t="shared" si="9"/>
        <v>0</v>
      </c>
      <c r="O28" s="156">
        <f t="shared" si="9"/>
        <v>36862.35</v>
      </c>
    </row>
    <row r="29" spans="1:15">
      <c r="A29" s="146">
        <v>1</v>
      </c>
      <c r="B29" s="145" t="s">
        <v>382</v>
      </c>
      <c r="C29" s="143">
        <f t="shared" ref="C29:G29" si="10">+C30</f>
        <v>0</v>
      </c>
      <c r="D29" s="143">
        <f t="shared" si="10"/>
        <v>0</v>
      </c>
      <c r="E29" s="143">
        <f t="shared" si="10"/>
        <v>0</v>
      </c>
      <c r="F29" s="143">
        <f t="shared" si="10"/>
        <v>0</v>
      </c>
      <c r="G29" s="143">
        <f t="shared" si="10"/>
        <v>0</v>
      </c>
      <c r="H29" s="144">
        <f t="shared" ref="H29:O29" si="11">H30+H31</f>
        <v>0</v>
      </c>
      <c r="I29" s="144">
        <f t="shared" si="11"/>
        <v>0</v>
      </c>
      <c r="J29" s="143">
        <f t="shared" ref="J29:L29" si="12">+J30</f>
        <v>0</v>
      </c>
      <c r="K29" s="143">
        <f t="shared" si="12"/>
        <v>0</v>
      </c>
      <c r="L29" s="143">
        <f t="shared" si="12"/>
        <v>0</v>
      </c>
      <c r="M29" s="143">
        <f t="shared" si="11"/>
        <v>750</v>
      </c>
      <c r="N29" s="143">
        <f>+N30</f>
        <v>0</v>
      </c>
      <c r="O29" s="143">
        <f t="shared" si="11"/>
        <v>750</v>
      </c>
    </row>
    <row r="30" spans="1:15">
      <c r="A30" s="158" t="s">
        <v>414</v>
      </c>
      <c r="B30" s="152" t="s">
        <v>215</v>
      </c>
      <c r="C30" s="156"/>
      <c r="D30" s="127"/>
      <c r="E30" s="156"/>
      <c r="F30" s="156"/>
      <c r="G30" s="156"/>
      <c r="H30" s="140"/>
      <c r="I30" s="140"/>
      <c r="J30" s="156"/>
      <c r="K30" s="156"/>
      <c r="L30" s="127"/>
      <c r="M30" s="127"/>
      <c r="N30" s="127">
        <f>G30</f>
        <v>0</v>
      </c>
      <c r="O30" s="127">
        <f>M30</f>
        <v>0</v>
      </c>
    </row>
    <row r="31" spans="1:15" hidden="1">
      <c r="A31" s="158" t="s">
        <v>214</v>
      </c>
      <c r="B31" s="157" t="s">
        <v>347</v>
      </c>
      <c r="C31" s="156">
        <f t="shared" ref="C31:O31" si="13">SUM(C32:C33)</f>
        <v>2</v>
      </c>
      <c r="D31" s="156">
        <f t="shared" si="13"/>
        <v>3556</v>
      </c>
      <c r="E31" s="156">
        <f t="shared" si="13"/>
        <v>1100</v>
      </c>
      <c r="F31" s="156">
        <f t="shared" si="13"/>
        <v>1850</v>
      </c>
      <c r="G31" s="156">
        <f t="shared" si="13"/>
        <v>750</v>
      </c>
      <c r="H31" s="140">
        <f t="shared" si="13"/>
        <v>0</v>
      </c>
      <c r="I31" s="140">
        <f t="shared" si="13"/>
        <v>0</v>
      </c>
      <c r="J31" s="156">
        <f t="shared" si="13"/>
        <v>0</v>
      </c>
      <c r="K31" s="156">
        <f t="shared" si="13"/>
        <v>750</v>
      </c>
      <c r="L31" s="156">
        <f t="shared" si="13"/>
        <v>0</v>
      </c>
      <c r="M31" s="156">
        <f t="shared" si="13"/>
        <v>750</v>
      </c>
      <c r="N31" s="156">
        <f t="shared" si="13"/>
        <v>0</v>
      </c>
      <c r="O31" s="156">
        <f t="shared" si="13"/>
        <v>750</v>
      </c>
    </row>
    <row r="32" spans="1:15" ht="87" hidden="1" customHeight="1">
      <c r="A32" s="153"/>
      <c r="B32" s="152" t="s">
        <v>381</v>
      </c>
      <c r="C32" s="156">
        <v>1</v>
      </c>
      <c r="D32" s="127">
        <v>1560</v>
      </c>
      <c r="E32" s="156">
        <v>400</v>
      </c>
      <c r="F32" s="156">
        <v>630</v>
      </c>
      <c r="G32" s="156">
        <f>H32+I32+J32+K32+L32</f>
        <v>230</v>
      </c>
      <c r="H32" s="156"/>
      <c r="I32" s="156"/>
      <c r="J32" s="156"/>
      <c r="K32" s="156">
        <f>+F32-E32</f>
        <v>230</v>
      </c>
      <c r="L32" s="127"/>
      <c r="M32" s="127">
        <f>G32</f>
        <v>230</v>
      </c>
      <c r="N32" s="126"/>
      <c r="O32" s="126">
        <f>G32</f>
        <v>230</v>
      </c>
    </row>
    <row r="33" spans="1:15" ht="104.25" hidden="1" customHeight="1">
      <c r="A33" s="153"/>
      <c r="B33" s="152" t="s">
        <v>380</v>
      </c>
      <c r="C33" s="156">
        <v>1</v>
      </c>
      <c r="D33" s="127">
        <v>1996</v>
      </c>
      <c r="E33" s="156">
        <v>700</v>
      </c>
      <c r="F33" s="156">
        <v>1220</v>
      </c>
      <c r="G33" s="156">
        <f>+F33-E33</f>
        <v>520</v>
      </c>
      <c r="H33" s="156"/>
      <c r="I33" s="156"/>
      <c r="J33" s="156">
        <v>0</v>
      </c>
      <c r="K33" s="156">
        <f>+F33-E33</f>
        <v>520</v>
      </c>
      <c r="L33" s="127">
        <v>0</v>
      </c>
      <c r="M33" s="127">
        <f>G33</f>
        <v>520</v>
      </c>
      <c r="N33" s="126"/>
      <c r="O33" s="126">
        <f>G33</f>
        <v>520</v>
      </c>
    </row>
    <row r="34" spans="1:15" s="214" customFormat="1" ht="19.5" customHeight="1">
      <c r="A34" s="146">
        <v>2</v>
      </c>
      <c r="B34" s="145" t="s">
        <v>379</v>
      </c>
      <c r="C34" s="143">
        <f t="shared" ref="C34:G34" si="14">+C35</f>
        <v>1</v>
      </c>
      <c r="D34" s="143">
        <f t="shared" si="14"/>
        <v>3700</v>
      </c>
      <c r="E34" s="143">
        <f t="shared" si="14"/>
        <v>3225</v>
      </c>
      <c r="F34" s="143">
        <f t="shared" si="14"/>
        <v>3601</v>
      </c>
      <c r="G34" s="143">
        <f t="shared" si="14"/>
        <v>376</v>
      </c>
      <c r="H34" s="144">
        <f t="shared" ref="H34:O34" si="15">H35+H37</f>
        <v>0</v>
      </c>
      <c r="I34" s="144">
        <f t="shared" si="15"/>
        <v>0</v>
      </c>
      <c r="J34" s="143">
        <f t="shared" ref="J34:L34" si="16">+J35</f>
        <v>0</v>
      </c>
      <c r="K34" s="143">
        <f t="shared" si="16"/>
        <v>376</v>
      </c>
      <c r="L34" s="143">
        <f t="shared" si="16"/>
        <v>0</v>
      </c>
      <c r="M34" s="143">
        <f t="shared" si="15"/>
        <v>8431</v>
      </c>
      <c r="N34" s="143">
        <f>+N35</f>
        <v>376</v>
      </c>
      <c r="O34" s="143">
        <f t="shared" si="15"/>
        <v>8055</v>
      </c>
    </row>
    <row r="35" spans="1:15" s="212" customFormat="1">
      <c r="A35" s="158" t="s">
        <v>414</v>
      </c>
      <c r="B35" s="152" t="s">
        <v>215</v>
      </c>
      <c r="C35" s="156">
        <f t="shared" ref="C35:N35" si="17">SUM(C36)</f>
        <v>1</v>
      </c>
      <c r="D35" s="156">
        <f t="shared" si="17"/>
        <v>3700</v>
      </c>
      <c r="E35" s="156">
        <f t="shared" si="17"/>
        <v>3225</v>
      </c>
      <c r="F35" s="156">
        <f t="shared" si="17"/>
        <v>3601</v>
      </c>
      <c r="G35" s="156">
        <f t="shared" si="17"/>
        <v>376</v>
      </c>
      <c r="H35" s="140">
        <f t="shared" si="17"/>
        <v>0</v>
      </c>
      <c r="I35" s="140">
        <f t="shared" si="17"/>
        <v>0</v>
      </c>
      <c r="J35" s="156">
        <f t="shared" si="17"/>
        <v>0</v>
      </c>
      <c r="K35" s="156">
        <f t="shared" si="17"/>
        <v>376</v>
      </c>
      <c r="L35" s="156">
        <f t="shared" si="17"/>
        <v>0</v>
      </c>
      <c r="M35" s="156">
        <f t="shared" si="17"/>
        <v>376</v>
      </c>
      <c r="N35" s="156">
        <f t="shared" si="17"/>
        <v>376</v>
      </c>
      <c r="O35" s="127"/>
    </row>
    <row r="36" spans="1:15" s="213" customFormat="1" ht="54.75" hidden="1" customHeight="1">
      <c r="A36" s="153"/>
      <c r="B36" s="152" t="s">
        <v>378</v>
      </c>
      <c r="C36" s="156">
        <v>1</v>
      </c>
      <c r="D36" s="163">
        <v>3700</v>
      </c>
      <c r="E36" s="162">
        <v>3225</v>
      </c>
      <c r="F36" s="162">
        <v>3601</v>
      </c>
      <c r="G36" s="156">
        <f>H36+I36+J36+K36+L36</f>
        <v>376</v>
      </c>
      <c r="H36" s="162"/>
      <c r="I36" s="162"/>
      <c r="J36" s="162"/>
      <c r="K36" s="156">
        <f>F36-E36</f>
        <v>376</v>
      </c>
      <c r="L36" s="163"/>
      <c r="M36" s="127">
        <f>G36</f>
        <v>376</v>
      </c>
      <c r="N36" s="126">
        <f>M36</f>
        <v>376</v>
      </c>
      <c r="O36" s="126"/>
    </row>
    <row r="37" spans="1:15" s="212" customFormat="1" ht="31.5" hidden="1">
      <c r="A37" s="158" t="s">
        <v>214</v>
      </c>
      <c r="B37" s="152" t="s">
        <v>213</v>
      </c>
      <c r="C37" s="156">
        <f t="shared" ref="C37:O37" si="18">SUM(C38:C38)</f>
        <v>1</v>
      </c>
      <c r="D37" s="156">
        <f t="shared" si="18"/>
        <v>8765</v>
      </c>
      <c r="E37" s="156">
        <f t="shared" si="18"/>
        <v>600</v>
      </c>
      <c r="F37" s="156">
        <f t="shared" si="18"/>
        <v>8655</v>
      </c>
      <c r="G37" s="156">
        <f t="shared" si="18"/>
        <v>8055</v>
      </c>
      <c r="H37" s="140">
        <f t="shared" si="18"/>
        <v>0</v>
      </c>
      <c r="I37" s="140">
        <f t="shared" si="18"/>
        <v>0</v>
      </c>
      <c r="J37" s="156">
        <f t="shared" si="18"/>
        <v>0</v>
      </c>
      <c r="K37" s="156">
        <f t="shared" si="18"/>
        <v>8055</v>
      </c>
      <c r="L37" s="156">
        <f t="shared" si="18"/>
        <v>0</v>
      </c>
      <c r="M37" s="156">
        <f t="shared" si="18"/>
        <v>8055</v>
      </c>
      <c r="N37" s="156">
        <f t="shared" si="18"/>
        <v>0</v>
      </c>
      <c r="O37" s="156">
        <f t="shared" si="18"/>
        <v>8055</v>
      </c>
    </row>
    <row r="38" spans="1:15" s="211" customFormat="1" ht="31.5" hidden="1">
      <c r="A38" s="153"/>
      <c r="B38" s="152" t="s">
        <v>377</v>
      </c>
      <c r="C38" s="156">
        <v>1</v>
      </c>
      <c r="D38" s="163">
        <v>8765</v>
      </c>
      <c r="E38" s="162">
        <v>600</v>
      </c>
      <c r="F38" s="162">
        <v>8655</v>
      </c>
      <c r="G38" s="143">
        <f>H38+I38+J38+K38+L38</f>
        <v>8055</v>
      </c>
      <c r="H38" s="162"/>
      <c r="I38" s="162"/>
      <c r="J38" s="162"/>
      <c r="K38" s="162">
        <f>F38-E38</f>
        <v>8055</v>
      </c>
      <c r="L38" s="163"/>
      <c r="M38" s="127">
        <f>G38</f>
        <v>8055</v>
      </c>
      <c r="N38" s="126"/>
      <c r="O38" s="126">
        <f>M38</f>
        <v>8055</v>
      </c>
    </row>
    <row r="39" spans="1:15" ht="24.95" customHeight="1">
      <c r="A39" s="146">
        <v>3</v>
      </c>
      <c r="B39" s="145" t="s">
        <v>376</v>
      </c>
      <c r="C39" s="143">
        <f t="shared" ref="C39:G39" si="19">+C40</f>
        <v>9</v>
      </c>
      <c r="D39" s="143">
        <f t="shared" si="19"/>
        <v>23755.359</v>
      </c>
      <c r="E39" s="143">
        <f t="shared" si="19"/>
        <v>19628.859</v>
      </c>
      <c r="F39" s="143">
        <f t="shared" si="19"/>
        <v>22747.618000000002</v>
      </c>
      <c r="G39" s="143">
        <f t="shared" si="19"/>
        <v>3118.7590000000005</v>
      </c>
      <c r="H39" s="144">
        <f t="shared" ref="H39:O39" si="20">H40+H50</f>
        <v>0</v>
      </c>
      <c r="I39" s="144">
        <f t="shared" si="20"/>
        <v>0</v>
      </c>
      <c r="J39" s="143">
        <f t="shared" ref="J39:L39" si="21">+J40</f>
        <v>0</v>
      </c>
      <c r="K39" s="143">
        <f t="shared" si="21"/>
        <v>3118.7590000000005</v>
      </c>
      <c r="L39" s="143">
        <f t="shared" si="21"/>
        <v>0</v>
      </c>
      <c r="M39" s="143">
        <f t="shared" si="20"/>
        <v>4661.2090000000007</v>
      </c>
      <c r="N39" s="143">
        <f>+N40</f>
        <v>3118.7590000000005</v>
      </c>
      <c r="O39" s="143">
        <f t="shared" si="20"/>
        <v>1542.4499999999998</v>
      </c>
    </row>
    <row r="40" spans="1:15">
      <c r="A40" s="158" t="s">
        <v>414</v>
      </c>
      <c r="B40" s="152" t="s">
        <v>215</v>
      </c>
      <c r="C40" s="156">
        <f t="shared" ref="C40:L40" si="22">SUM(C41:C49)</f>
        <v>9</v>
      </c>
      <c r="D40" s="156">
        <f t="shared" si="22"/>
        <v>23755.359</v>
      </c>
      <c r="E40" s="156">
        <f t="shared" si="22"/>
        <v>19628.859</v>
      </c>
      <c r="F40" s="156">
        <f t="shared" si="22"/>
        <v>22747.618000000002</v>
      </c>
      <c r="G40" s="156">
        <f t="shared" si="22"/>
        <v>3118.7590000000005</v>
      </c>
      <c r="H40" s="140">
        <f t="shared" si="22"/>
        <v>0</v>
      </c>
      <c r="I40" s="140">
        <f t="shared" si="22"/>
        <v>0</v>
      </c>
      <c r="J40" s="156">
        <f t="shared" si="22"/>
        <v>0</v>
      </c>
      <c r="K40" s="156">
        <f t="shared" si="22"/>
        <v>3118.7590000000005</v>
      </c>
      <c r="L40" s="156">
        <f t="shared" si="22"/>
        <v>0</v>
      </c>
      <c r="M40" s="127">
        <f t="shared" ref="M40:M53" si="23">G40</f>
        <v>3118.7590000000005</v>
      </c>
      <c r="N40" s="127">
        <f t="shared" ref="N40:N49" si="24">M40</f>
        <v>3118.7590000000005</v>
      </c>
      <c r="O40" s="127"/>
    </row>
    <row r="41" spans="1:15" s="168" customFormat="1" hidden="1">
      <c r="A41" s="170"/>
      <c r="B41" s="210" t="s">
        <v>375</v>
      </c>
      <c r="C41" s="162">
        <v>1</v>
      </c>
      <c r="D41" s="163">
        <v>541.65499999999997</v>
      </c>
      <c r="E41" s="162">
        <v>443.822</v>
      </c>
      <c r="F41" s="162">
        <v>458.95100000000002</v>
      </c>
      <c r="G41" s="156">
        <f t="shared" ref="G41:G49" si="25">+F41-E41</f>
        <v>15.129000000000019</v>
      </c>
      <c r="H41" s="162"/>
      <c r="I41" s="162"/>
      <c r="J41" s="162"/>
      <c r="K41" s="162">
        <f t="shared" ref="K41:K49" si="26">+G41</f>
        <v>15.129000000000019</v>
      </c>
      <c r="L41" s="163"/>
      <c r="M41" s="127">
        <f t="shared" si="23"/>
        <v>15.129000000000019</v>
      </c>
      <c r="N41" s="126">
        <f t="shared" si="24"/>
        <v>15.129000000000019</v>
      </c>
      <c r="O41" s="126"/>
    </row>
    <row r="42" spans="1:15" s="168" customFormat="1" ht="31.5" hidden="1">
      <c r="A42" s="170"/>
      <c r="B42" s="210" t="s">
        <v>374</v>
      </c>
      <c r="C42" s="162">
        <v>1</v>
      </c>
      <c r="D42" s="163">
        <v>520.75099999999998</v>
      </c>
      <c r="E42" s="162">
        <v>410</v>
      </c>
      <c r="F42" s="162">
        <v>433.59100000000001</v>
      </c>
      <c r="G42" s="156">
        <f t="shared" si="25"/>
        <v>23.591000000000008</v>
      </c>
      <c r="H42" s="162"/>
      <c r="I42" s="162"/>
      <c r="J42" s="162"/>
      <c r="K42" s="162">
        <f t="shared" si="26"/>
        <v>23.591000000000008</v>
      </c>
      <c r="L42" s="163"/>
      <c r="M42" s="127">
        <f t="shared" si="23"/>
        <v>23.591000000000008</v>
      </c>
      <c r="N42" s="126">
        <f t="shared" si="24"/>
        <v>23.591000000000008</v>
      </c>
      <c r="O42" s="126"/>
    </row>
    <row r="43" spans="1:15" s="168" customFormat="1" ht="31.5" hidden="1">
      <c r="A43" s="170"/>
      <c r="B43" s="210" t="s">
        <v>373</v>
      </c>
      <c r="C43" s="162">
        <v>1</v>
      </c>
      <c r="D43" s="163">
        <v>893</v>
      </c>
      <c r="E43" s="162">
        <v>710.34799999999996</v>
      </c>
      <c r="F43" s="162">
        <v>771.36599999999999</v>
      </c>
      <c r="G43" s="156">
        <f t="shared" si="25"/>
        <v>61.018000000000029</v>
      </c>
      <c r="H43" s="162"/>
      <c r="I43" s="162"/>
      <c r="J43" s="162"/>
      <c r="K43" s="162">
        <f t="shared" si="26"/>
        <v>61.018000000000029</v>
      </c>
      <c r="L43" s="163"/>
      <c r="M43" s="127">
        <f t="shared" si="23"/>
        <v>61.018000000000029</v>
      </c>
      <c r="N43" s="126">
        <f t="shared" si="24"/>
        <v>61.018000000000029</v>
      </c>
      <c r="O43" s="126"/>
    </row>
    <row r="44" spans="1:15" s="168" customFormat="1" hidden="1">
      <c r="A44" s="170"/>
      <c r="B44" s="210" t="s">
        <v>372</v>
      </c>
      <c r="C44" s="162">
        <v>1</v>
      </c>
      <c r="D44" s="163">
        <v>1206.24</v>
      </c>
      <c r="E44" s="162">
        <v>982.16800000000001</v>
      </c>
      <c r="F44" s="162">
        <v>1177.0350000000001</v>
      </c>
      <c r="G44" s="156">
        <f t="shared" si="25"/>
        <v>194.86700000000008</v>
      </c>
      <c r="H44" s="162"/>
      <c r="I44" s="162"/>
      <c r="J44" s="162"/>
      <c r="K44" s="162">
        <f t="shared" si="26"/>
        <v>194.86700000000008</v>
      </c>
      <c r="L44" s="163"/>
      <c r="M44" s="127">
        <f t="shared" si="23"/>
        <v>194.86700000000008</v>
      </c>
      <c r="N44" s="126">
        <f t="shared" si="24"/>
        <v>194.86700000000008</v>
      </c>
      <c r="O44" s="126"/>
    </row>
    <row r="45" spans="1:15" s="168" customFormat="1" hidden="1">
      <c r="A45" s="170"/>
      <c r="B45" s="210" t="s">
        <v>371</v>
      </c>
      <c r="C45" s="162">
        <v>1</v>
      </c>
      <c r="D45" s="163">
        <v>2540.4589999999998</v>
      </c>
      <c r="E45" s="162">
        <v>2252</v>
      </c>
      <c r="F45" s="162">
        <v>2270.4830000000002</v>
      </c>
      <c r="G45" s="156">
        <f t="shared" si="25"/>
        <v>18.483000000000175</v>
      </c>
      <c r="H45" s="162"/>
      <c r="I45" s="162"/>
      <c r="J45" s="162"/>
      <c r="K45" s="162">
        <f t="shared" si="26"/>
        <v>18.483000000000175</v>
      </c>
      <c r="L45" s="163"/>
      <c r="M45" s="127">
        <f t="shared" si="23"/>
        <v>18.483000000000175</v>
      </c>
      <c r="N45" s="126">
        <f t="shared" si="24"/>
        <v>18.483000000000175</v>
      </c>
      <c r="O45" s="126"/>
    </row>
    <row r="46" spans="1:15" s="168" customFormat="1" hidden="1">
      <c r="A46" s="170"/>
      <c r="B46" s="210" t="s">
        <v>370</v>
      </c>
      <c r="C46" s="162">
        <v>1</v>
      </c>
      <c r="D46" s="163">
        <v>1299.0820000000001</v>
      </c>
      <c r="E46" s="162">
        <v>885.52099999999996</v>
      </c>
      <c r="F46" s="162">
        <v>1081.768</v>
      </c>
      <c r="G46" s="156">
        <f t="shared" si="25"/>
        <v>196.24700000000007</v>
      </c>
      <c r="H46" s="162"/>
      <c r="I46" s="162"/>
      <c r="J46" s="162"/>
      <c r="K46" s="162">
        <f t="shared" si="26"/>
        <v>196.24700000000007</v>
      </c>
      <c r="L46" s="163"/>
      <c r="M46" s="127">
        <f t="shared" si="23"/>
        <v>196.24700000000007</v>
      </c>
      <c r="N46" s="126">
        <f t="shared" si="24"/>
        <v>196.24700000000007</v>
      </c>
      <c r="O46" s="126"/>
    </row>
    <row r="47" spans="1:15" s="168" customFormat="1" ht="31.5" hidden="1">
      <c r="A47" s="170"/>
      <c r="B47" s="210" t="s">
        <v>369</v>
      </c>
      <c r="C47" s="162">
        <v>1</v>
      </c>
      <c r="D47" s="163">
        <v>862.30200000000002</v>
      </c>
      <c r="E47" s="162">
        <v>720</v>
      </c>
      <c r="F47" s="162">
        <v>811.90099999999995</v>
      </c>
      <c r="G47" s="156">
        <f t="shared" si="25"/>
        <v>91.900999999999954</v>
      </c>
      <c r="H47" s="162"/>
      <c r="I47" s="162"/>
      <c r="J47" s="162"/>
      <c r="K47" s="162">
        <f t="shared" si="26"/>
        <v>91.900999999999954</v>
      </c>
      <c r="L47" s="163"/>
      <c r="M47" s="127">
        <f t="shared" si="23"/>
        <v>91.900999999999954</v>
      </c>
      <c r="N47" s="126">
        <f t="shared" si="24"/>
        <v>91.900999999999954</v>
      </c>
      <c r="O47" s="126"/>
    </row>
    <row r="48" spans="1:15" s="168" customFormat="1" ht="31.5" hidden="1">
      <c r="A48" s="170"/>
      <c r="B48" s="210" t="s">
        <v>368</v>
      </c>
      <c r="C48" s="162">
        <v>1</v>
      </c>
      <c r="D48" s="163">
        <v>911.87</v>
      </c>
      <c r="E48" s="162">
        <v>830</v>
      </c>
      <c r="F48" s="162">
        <v>859.52300000000002</v>
      </c>
      <c r="G48" s="156">
        <f t="shared" si="25"/>
        <v>29.523000000000025</v>
      </c>
      <c r="H48" s="162"/>
      <c r="I48" s="162"/>
      <c r="J48" s="162"/>
      <c r="K48" s="162">
        <f t="shared" si="26"/>
        <v>29.523000000000025</v>
      </c>
      <c r="L48" s="163"/>
      <c r="M48" s="127">
        <f t="shared" si="23"/>
        <v>29.523000000000025</v>
      </c>
      <c r="N48" s="126">
        <f t="shared" si="24"/>
        <v>29.523000000000025</v>
      </c>
      <c r="O48" s="126"/>
    </row>
    <row r="49" spans="1:15" s="168" customFormat="1" ht="47.25" hidden="1">
      <c r="A49" s="170"/>
      <c r="B49" s="210" t="s">
        <v>367</v>
      </c>
      <c r="C49" s="162">
        <v>1</v>
      </c>
      <c r="D49" s="163">
        <v>14980</v>
      </c>
      <c r="E49" s="162">
        <v>12395</v>
      </c>
      <c r="F49" s="162">
        <v>14883</v>
      </c>
      <c r="G49" s="156">
        <f t="shared" si="25"/>
        <v>2488</v>
      </c>
      <c r="H49" s="162"/>
      <c r="I49" s="162"/>
      <c r="J49" s="162"/>
      <c r="K49" s="162">
        <f t="shared" si="26"/>
        <v>2488</v>
      </c>
      <c r="L49" s="163"/>
      <c r="M49" s="127">
        <f t="shared" si="23"/>
        <v>2488</v>
      </c>
      <c r="N49" s="126">
        <f t="shared" si="24"/>
        <v>2488</v>
      </c>
      <c r="O49" s="126"/>
    </row>
    <row r="50" spans="1:15" s="166" customFormat="1" hidden="1">
      <c r="A50" s="158" t="s">
        <v>214</v>
      </c>
      <c r="B50" s="210" t="s">
        <v>366</v>
      </c>
      <c r="C50" s="156">
        <f t="shared" ref="C50:L50" si="27">SUM(C51:C53)</f>
        <v>3</v>
      </c>
      <c r="D50" s="156">
        <f t="shared" si="27"/>
        <v>4071</v>
      </c>
      <c r="E50" s="156">
        <f t="shared" si="27"/>
        <v>2325</v>
      </c>
      <c r="F50" s="156">
        <f t="shared" si="27"/>
        <v>3867.45</v>
      </c>
      <c r="G50" s="156">
        <f t="shared" si="27"/>
        <v>1542.4499999999998</v>
      </c>
      <c r="H50" s="140">
        <f t="shared" si="27"/>
        <v>0</v>
      </c>
      <c r="I50" s="140">
        <f t="shared" si="27"/>
        <v>0</v>
      </c>
      <c r="J50" s="156">
        <f t="shared" si="27"/>
        <v>0</v>
      </c>
      <c r="K50" s="156">
        <f t="shared" si="27"/>
        <v>1542.4499999999998</v>
      </c>
      <c r="L50" s="156">
        <f t="shared" si="27"/>
        <v>0</v>
      </c>
      <c r="M50" s="127">
        <f t="shared" si="23"/>
        <v>1542.4499999999998</v>
      </c>
      <c r="N50" s="126"/>
      <c r="O50" s="126">
        <f>M50</f>
        <v>1542.4499999999998</v>
      </c>
    </row>
    <row r="51" spans="1:15" s="166" customFormat="1" ht="31.5" hidden="1">
      <c r="A51" s="153"/>
      <c r="B51" s="210" t="s">
        <v>365</v>
      </c>
      <c r="C51" s="156">
        <v>1</v>
      </c>
      <c r="D51" s="156">
        <v>1795</v>
      </c>
      <c r="E51" s="156">
        <v>980</v>
      </c>
      <c r="F51" s="156">
        <v>1705.25</v>
      </c>
      <c r="G51" s="156">
        <v>725.25</v>
      </c>
      <c r="H51" s="156"/>
      <c r="I51" s="156"/>
      <c r="J51" s="156"/>
      <c r="K51" s="156">
        <v>725.25</v>
      </c>
      <c r="L51" s="127"/>
      <c r="M51" s="127">
        <f t="shared" si="23"/>
        <v>725.25</v>
      </c>
      <c r="N51" s="126"/>
      <c r="O51" s="126">
        <f>M51</f>
        <v>725.25</v>
      </c>
    </row>
    <row r="52" spans="1:15" s="166" customFormat="1" ht="31.5" hidden="1">
      <c r="A52" s="153"/>
      <c r="B52" s="210" t="s">
        <v>364</v>
      </c>
      <c r="C52" s="156">
        <v>1</v>
      </c>
      <c r="D52" s="156">
        <v>1134</v>
      </c>
      <c r="E52" s="156">
        <v>920</v>
      </c>
      <c r="F52" s="156">
        <v>1077.3</v>
      </c>
      <c r="G52" s="156">
        <v>157.29999999999995</v>
      </c>
      <c r="H52" s="156"/>
      <c r="I52" s="156"/>
      <c r="J52" s="156"/>
      <c r="K52" s="156">
        <v>157.29999999999995</v>
      </c>
      <c r="L52" s="127"/>
      <c r="M52" s="127">
        <f t="shared" si="23"/>
        <v>157.29999999999995</v>
      </c>
      <c r="N52" s="126"/>
      <c r="O52" s="126">
        <f>M52</f>
        <v>157.29999999999995</v>
      </c>
    </row>
    <row r="53" spans="1:15" s="166" customFormat="1" ht="31.5" hidden="1">
      <c r="A53" s="153"/>
      <c r="B53" s="210" t="s">
        <v>363</v>
      </c>
      <c r="C53" s="156">
        <v>1</v>
      </c>
      <c r="D53" s="156">
        <v>1142</v>
      </c>
      <c r="E53" s="156">
        <v>425</v>
      </c>
      <c r="F53" s="156">
        <v>1084.8999999999999</v>
      </c>
      <c r="G53" s="156">
        <v>659.89999999999986</v>
      </c>
      <c r="H53" s="156"/>
      <c r="I53" s="156"/>
      <c r="J53" s="156"/>
      <c r="K53" s="156">
        <v>659.89999999999986</v>
      </c>
      <c r="L53" s="127"/>
      <c r="M53" s="127">
        <f t="shared" si="23"/>
        <v>659.89999999999986</v>
      </c>
      <c r="N53" s="126"/>
      <c r="O53" s="126">
        <f>M53</f>
        <v>659.89999999999986</v>
      </c>
    </row>
    <row r="54" spans="1:15" s="154" customFormat="1">
      <c r="A54" s="146">
        <v>4</v>
      </c>
      <c r="B54" s="145" t="s">
        <v>362</v>
      </c>
      <c r="C54" s="143">
        <f t="shared" ref="C54:G54" si="28">+C55</f>
        <v>8</v>
      </c>
      <c r="D54" s="143">
        <f t="shared" si="28"/>
        <v>33267.792999999998</v>
      </c>
      <c r="E54" s="143">
        <f t="shared" si="28"/>
        <v>28387.332999999999</v>
      </c>
      <c r="F54" s="143">
        <f t="shared" si="28"/>
        <v>31706.934999999998</v>
      </c>
      <c r="G54" s="143">
        <f t="shared" si="28"/>
        <v>3319.6020000000003</v>
      </c>
      <c r="H54" s="144">
        <f t="shared" ref="H54:O54" si="29">H55+H64+H67</f>
        <v>0</v>
      </c>
      <c r="I54" s="144">
        <f t="shared" si="29"/>
        <v>0</v>
      </c>
      <c r="J54" s="143">
        <f t="shared" ref="J54:L54" si="30">+J55</f>
        <v>0</v>
      </c>
      <c r="K54" s="143">
        <f t="shared" si="30"/>
        <v>3319.6020000000003</v>
      </c>
      <c r="L54" s="143">
        <f t="shared" si="30"/>
        <v>0</v>
      </c>
      <c r="M54" s="143">
        <f t="shared" si="29"/>
        <v>11478.602000000001</v>
      </c>
      <c r="N54" s="143">
        <f>+N55</f>
        <v>3319.6020000000003</v>
      </c>
      <c r="O54" s="143">
        <f t="shared" si="29"/>
        <v>8159</v>
      </c>
    </row>
    <row r="55" spans="1:15">
      <c r="A55" s="158" t="s">
        <v>414</v>
      </c>
      <c r="B55" s="152" t="s">
        <v>338</v>
      </c>
      <c r="C55" s="156">
        <f t="shared" ref="C55:L55" si="31">SUM(C56:C63)</f>
        <v>8</v>
      </c>
      <c r="D55" s="156">
        <f t="shared" si="31"/>
        <v>33267.792999999998</v>
      </c>
      <c r="E55" s="156">
        <f t="shared" si="31"/>
        <v>28387.332999999999</v>
      </c>
      <c r="F55" s="156">
        <f t="shared" si="31"/>
        <v>31706.934999999998</v>
      </c>
      <c r="G55" s="156">
        <f t="shared" si="31"/>
        <v>3319.6020000000003</v>
      </c>
      <c r="H55" s="140">
        <f t="shared" si="31"/>
        <v>0</v>
      </c>
      <c r="I55" s="140">
        <f t="shared" si="31"/>
        <v>0</v>
      </c>
      <c r="J55" s="156">
        <f t="shared" si="31"/>
        <v>0</v>
      </c>
      <c r="K55" s="156">
        <f t="shared" si="31"/>
        <v>3319.6020000000003</v>
      </c>
      <c r="L55" s="156">
        <f t="shared" si="31"/>
        <v>0</v>
      </c>
      <c r="M55" s="127">
        <f t="shared" ref="M55:M68" si="32">G55</f>
        <v>3319.6020000000003</v>
      </c>
      <c r="N55" s="127">
        <f t="shared" ref="N55:N63" si="33">M55</f>
        <v>3319.6020000000003</v>
      </c>
      <c r="O55" s="127"/>
    </row>
    <row r="56" spans="1:15" s="168" customFormat="1" hidden="1">
      <c r="A56" s="153"/>
      <c r="B56" s="152" t="s">
        <v>361</v>
      </c>
      <c r="C56" s="189">
        <v>1</v>
      </c>
      <c r="D56" s="209">
        <v>5327.3209999999999</v>
      </c>
      <c r="E56" s="128">
        <v>5020.4799999999996</v>
      </c>
      <c r="F56" s="128">
        <v>5077</v>
      </c>
      <c r="G56" s="143">
        <f>H56+I56+J56+K56+L56</f>
        <v>56.520000000000437</v>
      </c>
      <c r="H56" s="162"/>
      <c r="I56" s="162"/>
      <c r="J56" s="162"/>
      <c r="K56" s="162">
        <f>F56-E56</f>
        <v>56.520000000000437</v>
      </c>
      <c r="L56" s="163"/>
      <c r="M56" s="127">
        <f t="shared" si="32"/>
        <v>56.520000000000437</v>
      </c>
      <c r="N56" s="126">
        <f t="shared" si="33"/>
        <v>56.520000000000437</v>
      </c>
      <c r="O56" s="126"/>
    </row>
    <row r="57" spans="1:15" s="168" customFormat="1" hidden="1">
      <c r="A57" s="153"/>
      <c r="B57" s="152" t="s">
        <v>360</v>
      </c>
      <c r="C57" s="162">
        <v>1</v>
      </c>
      <c r="D57" s="163">
        <v>6020</v>
      </c>
      <c r="E57" s="162">
        <v>5294.7060000000001</v>
      </c>
      <c r="F57" s="162">
        <v>5375.2960000000003</v>
      </c>
      <c r="G57" s="143">
        <f>H57+I57+J57+K57+L57</f>
        <v>80.590000000000146</v>
      </c>
      <c r="H57" s="162"/>
      <c r="I57" s="162"/>
      <c r="J57" s="162"/>
      <c r="K57" s="162">
        <f>F57-E57</f>
        <v>80.590000000000146</v>
      </c>
      <c r="L57" s="163"/>
      <c r="M57" s="127">
        <f t="shared" si="32"/>
        <v>80.590000000000146</v>
      </c>
      <c r="N57" s="126">
        <f t="shared" si="33"/>
        <v>80.590000000000146</v>
      </c>
      <c r="O57" s="126"/>
    </row>
    <row r="58" spans="1:15" s="168" customFormat="1" hidden="1">
      <c r="A58" s="153"/>
      <c r="B58" s="152" t="s">
        <v>359</v>
      </c>
      <c r="C58" s="162">
        <v>1</v>
      </c>
      <c r="D58" s="163">
        <v>935.42700000000002</v>
      </c>
      <c r="E58" s="162">
        <v>769.85</v>
      </c>
      <c r="F58" s="162">
        <v>814.30899999999997</v>
      </c>
      <c r="G58" s="143">
        <v>44.459000000000003</v>
      </c>
      <c r="H58" s="162"/>
      <c r="I58" s="162"/>
      <c r="J58" s="162"/>
      <c r="K58" s="162">
        <v>44.459000000000003</v>
      </c>
      <c r="L58" s="163"/>
      <c r="M58" s="127">
        <f t="shared" si="32"/>
        <v>44.459000000000003</v>
      </c>
      <c r="N58" s="126">
        <f t="shared" si="33"/>
        <v>44.459000000000003</v>
      </c>
      <c r="O58" s="126"/>
    </row>
    <row r="59" spans="1:15" s="168" customFormat="1" hidden="1">
      <c r="A59" s="153"/>
      <c r="B59" s="152" t="s">
        <v>358</v>
      </c>
      <c r="C59" s="162">
        <v>1</v>
      </c>
      <c r="D59" s="163">
        <v>1123</v>
      </c>
      <c r="E59" s="162">
        <v>960</v>
      </c>
      <c r="F59" s="162">
        <v>1017</v>
      </c>
      <c r="G59" s="143">
        <f>H59+I59+J59+K59+L59</f>
        <v>57</v>
      </c>
      <c r="H59" s="162"/>
      <c r="I59" s="162"/>
      <c r="J59" s="162"/>
      <c r="K59" s="162">
        <v>57</v>
      </c>
      <c r="L59" s="163"/>
      <c r="M59" s="127">
        <f t="shared" si="32"/>
        <v>57</v>
      </c>
      <c r="N59" s="126">
        <f t="shared" si="33"/>
        <v>57</v>
      </c>
      <c r="O59" s="126"/>
    </row>
    <row r="60" spans="1:15" s="168" customFormat="1" hidden="1">
      <c r="A60" s="153"/>
      <c r="B60" s="152" t="s">
        <v>357</v>
      </c>
      <c r="C60" s="162">
        <v>1</v>
      </c>
      <c r="D60" s="163">
        <v>2870.0450000000001</v>
      </c>
      <c r="E60" s="162">
        <v>2725.0540000000001</v>
      </c>
      <c r="F60" s="162">
        <v>2758.33</v>
      </c>
      <c r="G60" s="143">
        <f>H60+I60+J60+K60+L60</f>
        <v>33.27599999999984</v>
      </c>
      <c r="H60" s="162"/>
      <c r="I60" s="162"/>
      <c r="J60" s="162"/>
      <c r="K60" s="162">
        <f>F60-E60</f>
        <v>33.27599999999984</v>
      </c>
      <c r="L60" s="163"/>
      <c r="M60" s="127">
        <f t="shared" si="32"/>
        <v>33.27599999999984</v>
      </c>
      <c r="N60" s="126">
        <f t="shared" si="33"/>
        <v>33.27599999999984</v>
      </c>
      <c r="O60" s="126"/>
    </row>
    <row r="61" spans="1:15" s="168" customFormat="1" hidden="1">
      <c r="A61" s="153"/>
      <c r="B61" s="152" t="s">
        <v>356</v>
      </c>
      <c r="C61" s="162">
        <v>1</v>
      </c>
      <c r="D61" s="163">
        <v>725</v>
      </c>
      <c r="E61" s="162">
        <v>2.5680000000000001</v>
      </c>
      <c r="F61" s="162">
        <v>638</v>
      </c>
      <c r="G61" s="143">
        <f>H61+I61+J61+K61+L61</f>
        <v>635.43200000000002</v>
      </c>
      <c r="H61" s="162"/>
      <c r="I61" s="162"/>
      <c r="J61" s="162"/>
      <c r="K61" s="162">
        <f>F61-E61</f>
        <v>635.43200000000002</v>
      </c>
      <c r="L61" s="163"/>
      <c r="M61" s="127">
        <f t="shared" si="32"/>
        <v>635.43200000000002</v>
      </c>
      <c r="N61" s="126">
        <f t="shared" si="33"/>
        <v>635.43200000000002</v>
      </c>
      <c r="O61" s="126"/>
    </row>
    <row r="62" spans="1:15" s="168" customFormat="1" hidden="1">
      <c r="A62" s="153"/>
      <c r="B62" s="152" t="s">
        <v>355</v>
      </c>
      <c r="C62" s="162">
        <v>1</v>
      </c>
      <c r="D62" s="163">
        <v>3267</v>
      </c>
      <c r="E62" s="162">
        <v>2814.6750000000002</v>
      </c>
      <c r="F62" s="162">
        <v>3087</v>
      </c>
      <c r="G62" s="143">
        <f>H62+I62+J62+K62+L62</f>
        <v>272.32499999999982</v>
      </c>
      <c r="H62" s="162"/>
      <c r="I62" s="162"/>
      <c r="J62" s="162"/>
      <c r="K62" s="162">
        <f>F62-E62</f>
        <v>272.32499999999982</v>
      </c>
      <c r="L62" s="163"/>
      <c r="M62" s="127">
        <f t="shared" si="32"/>
        <v>272.32499999999982</v>
      </c>
      <c r="N62" s="126">
        <f t="shared" si="33"/>
        <v>272.32499999999982</v>
      </c>
      <c r="O62" s="126"/>
    </row>
    <row r="63" spans="1:15" s="166" customFormat="1" hidden="1">
      <c r="A63" s="153"/>
      <c r="B63" s="207" t="s">
        <v>354</v>
      </c>
      <c r="C63" s="156">
        <v>1</v>
      </c>
      <c r="D63" s="127">
        <v>13000</v>
      </c>
      <c r="E63" s="156">
        <v>10800</v>
      </c>
      <c r="F63" s="156">
        <v>12940</v>
      </c>
      <c r="G63" s="156">
        <f>H63+I63+J63+K63+L63</f>
        <v>2140</v>
      </c>
      <c r="H63" s="156"/>
      <c r="I63" s="156"/>
      <c r="J63" s="156"/>
      <c r="K63" s="156">
        <f>F63-E63</f>
        <v>2140</v>
      </c>
      <c r="L63" s="127"/>
      <c r="M63" s="127">
        <f t="shared" si="32"/>
        <v>2140</v>
      </c>
      <c r="N63" s="126">
        <f t="shared" si="33"/>
        <v>2140</v>
      </c>
      <c r="O63" s="126"/>
    </row>
    <row r="64" spans="1:15" hidden="1">
      <c r="A64" s="158" t="s">
        <v>214</v>
      </c>
      <c r="B64" s="207" t="s">
        <v>347</v>
      </c>
      <c r="C64" s="156">
        <f t="shared" ref="C64:L64" si="34">SUM(C65:C66)</f>
        <v>2</v>
      </c>
      <c r="D64" s="156">
        <f t="shared" si="34"/>
        <v>22590</v>
      </c>
      <c r="E64" s="156">
        <f t="shared" si="34"/>
        <v>16500</v>
      </c>
      <c r="F64" s="156">
        <f t="shared" si="34"/>
        <v>21569</v>
      </c>
      <c r="G64" s="156">
        <f t="shared" si="34"/>
        <v>5069</v>
      </c>
      <c r="H64" s="140">
        <f t="shared" si="34"/>
        <v>0</v>
      </c>
      <c r="I64" s="140">
        <f t="shared" si="34"/>
        <v>0</v>
      </c>
      <c r="J64" s="156">
        <f t="shared" si="34"/>
        <v>0</v>
      </c>
      <c r="K64" s="156">
        <f t="shared" si="34"/>
        <v>5069</v>
      </c>
      <c r="L64" s="156">
        <f t="shared" si="34"/>
        <v>0</v>
      </c>
      <c r="M64" s="127">
        <f t="shared" si="32"/>
        <v>5069</v>
      </c>
      <c r="N64" s="127"/>
      <c r="O64" s="127">
        <f>M64</f>
        <v>5069</v>
      </c>
    </row>
    <row r="65" spans="1:15" s="166" customFormat="1" ht="31.5" hidden="1">
      <c r="A65" s="153"/>
      <c r="B65" s="207" t="s">
        <v>353</v>
      </c>
      <c r="C65" s="156">
        <v>1</v>
      </c>
      <c r="D65" s="127">
        <v>14990</v>
      </c>
      <c r="E65" s="156">
        <v>10000</v>
      </c>
      <c r="F65" s="156">
        <v>13985</v>
      </c>
      <c r="G65" s="156">
        <f>H65+I65+J65+K65+L65</f>
        <v>3985</v>
      </c>
      <c r="H65" s="156"/>
      <c r="I65" s="156"/>
      <c r="J65" s="156"/>
      <c r="K65" s="156">
        <f>F65-E65</f>
        <v>3985</v>
      </c>
      <c r="L65" s="127"/>
      <c r="M65" s="127">
        <f t="shared" si="32"/>
        <v>3985</v>
      </c>
      <c r="N65" s="126"/>
      <c r="O65" s="126">
        <f>M65</f>
        <v>3985</v>
      </c>
    </row>
    <row r="66" spans="1:15" s="166" customFormat="1" hidden="1">
      <c r="A66" s="153"/>
      <c r="B66" s="207" t="s">
        <v>352</v>
      </c>
      <c r="C66" s="156">
        <v>1</v>
      </c>
      <c r="D66" s="127">
        <v>7600</v>
      </c>
      <c r="E66" s="156">
        <v>6500</v>
      </c>
      <c r="F66" s="156">
        <v>7584</v>
      </c>
      <c r="G66" s="156">
        <f>H66+I66+J66+K66+L66</f>
        <v>1084</v>
      </c>
      <c r="H66" s="156"/>
      <c r="I66" s="156"/>
      <c r="J66" s="156"/>
      <c r="K66" s="156">
        <f>F66-E66</f>
        <v>1084</v>
      </c>
      <c r="L66" s="127"/>
      <c r="M66" s="127">
        <f t="shared" si="32"/>
        <v>1084</v>
      </c>
      <c r="N66" s="126"/>
      <c r="O66" s="126">
        <f>M66</f>
        <v>1084</v>
      </c>
    </row>
    <row r="67" spans="1:15" s="168" customFormat="1" hidden="1">
      <c r="A67" s="135" t="s">
        <v>214</v>
      </c>
      <c r="B67" s="208" t="s">
        <v>175</v>
      </c>
      <c r="C67" s="140">
        <f t="shared" ref="C67:L67" si="35">SUM(C68:C68)</f>
        <v>1</v>
      </c>
      <c r="D67" s="140">
        <f t="shared" si="35"/>
        <v>6067</v>
      </c>
      <c r="E67" s="140">
        <f t="shared" si="35"/>
        <v>2000</v>
      </c>
      <c r="F67" s="140">
        <f t="shared" si="35"/>
        <v>5090</v>
      </c>
      <c r="G67" s="140">
        <f t="shared" si="35"/>
        <v>3090</v>
      </c>
      <c r="H67" s="140">
        <f t="shared" si="35"/>
        <v>0</v>
      </c>
      <c r="I67" s="140">
        <f t="shared" si="35"/>
        <v>0</v>
      </c>
      <c r="J67" s="140">
        <f t="shared" si="35"/>
        <v>0</v>
      </c>
      <c r="K67" s="140">
        <f t="shared" si="35"/>
        <v>3090</v>
      </c>
      <c r="L67" s="140">
        <f t="shared" si="35"/>
        <v>0</v>
      </c>
      <c r="M67" s="159">
        <f t="shared" si="32"/>
        <v>3090</v>
      </c>
      <c r="N67" s="126"/>
      <c r="O67" s="126">
        <f>M67</f>
        <v>3090</v>
      </c>
    </row>
    <row r="68" spans="1:15" s="166" customFormat="1" ht="31.5" hidden="1">
      <c r="A68" s="153"/>
      <c r="B68" s="207" t="s">
        <v>351</v>
      </c>
      <c r="C68" s="156">
        <v>1</v>
      </c>
      <c r="D68" s="127">
        <v>6067</v>
      </c>
      <c r="E68" s="156">
        <v>2000</v>
      </c>
      <c r="F68" s="156">
        <v>5090</v>
      </c>
      <c r="G68" s="156">
        <f>H68+I68+J68+K68+L68</f>
        <v>3090</v>
      </c>
      <c r="H68" s="156"/>
      <c r="I68" s="156"/>
      <c r="J68" s="156"/>
      <c r="K68" s="156">
        <f>F68-E68</f>
        <v>3090</v>
      </c>
      <c r="L68" s="127"/>
      <c r="M68" s="127">
        <f t="shared" si="32"/>
        <v>3090</v>
      </c>
      <c r="N68" s="126"/>
      <c r="O68" s="126">
        <f>M68</f>
        <v>3090</v>
      </c>
    </row>
    <row r="69" spans="1:15" s="132" customFormat="1" ht="17.25">
      <c r="A69" s="146">
        <v>5</v>
      </c>
      <c r="B69" s="145" t="s">
        <v>45</v>
      </c>
      <c r="C69" s="143">
        <f t="shared" ref="C69:G69" si="36">+C70</f>
        <v>2</v>
      </c>
      <c r="D69" s="143">
        <f t="shared" si="36"/>
        <v>3545</v>
      </c>
      <c r="E69" s="143">
        <f t="shared" si="36"/>
        <v>3270</v>
      </c>
      <c r="F69" s="143">
        <f t="shared" si="36"/>
        <v>3344</v>
      </c>
      <c r="G69" s="143">
        <f t="shared" si="36"/>
        <v>74</v>
      </c>
      <c r="H69" s="144">
        <f t="shared" ref="H69:O69" si="37">H70+H73+H77</f>
        <v>0</v>
      </c>
      <c r="I69" s="144">
        <f t="shared" si="37"/>
        <v>0</v>
      </c>
      <c r="J69" s="143">
        <f t="shared" ref="J69:L69" si="38">+J70</f>
        <v>0</v>
      </c>
      <c r="K69" s="143">
        <f t="shared" si="38"/>
        <v>74</v>
      </c>
      <c r="L69" s="143">
        <f t="shared" si="38"/>
        <v>0</v>
      </c>
      <c r="M69" s="143">
        <f t="shared" si="37"/>
        <v>3453</v>
      </c>
      <c r="N69" s="143">
        <f>+N70</f>
        <v>74</v>
      </c>
      <c r="O69" s="143">
        <f t="shared" si="37"/>
        <v>3379</v>
      </c>
    </row>
    <row r="70" spans="1:15">
      <c r="A70" s="158" t="s">
        <v>414</v>
      </c>
      <c r="B70" s="152" t="s">
        <v>350</v>
      </c>
      <c r="C70" s="156">
        <f t="shared" ref="C70:L70" si="39">SUM(C71:C72)</f>
        <v>2</v>
      </c>
      <c r="D70" s="156">
        <f t="shared" si="39"/>
        <v>3545</v>
      </c>
      <c r="E70" s="156">
        <f t="shared" si="39"/>
        <v>3270</v>
      </c>
      <c r="F70" s="156">
        <f t="shared" si="39"/>
        <v>3344</v>
      </c>
      <c r="G70" s="156">
        <f t="shared" si="39"/>
        <v>74</v>
      </c>
      <c r="H70" s="140">
        <f t="shared" si="39"/>
        <v>0</v>
      </c>
      <c r="I70" s="140">
        <f t="shared" si="39"/>
        <v>0</v>
      </c>
      <c r="J70" s="156">
        <f t="shared" si="39"/>
        <v>0</v>
      </c>
      <c r="K70" s="156">
        <f t="shared" si="39"/>
        <v>74</v>
      </c>
      <c r="L70" s="156">
        <f t="shared" si="39"/>
        <v>0</v>
      </c>
      <c r="M70" s="127">
        <f t="shared" ref="M70:M82" si="40">G70</f>
        <v>74</v>
      </c>
      <c r="N70" s="126">
        <f>M70</f>
        <v>74</v>
      </c>
      <c r="O70" s="126"/>
    </row>
    <row r="71" spans="1:15" s="142" customFormat="1" ht="47.25" hidden="1">
      <c r="A71" s="206"/>
      <c r="B71" s="207" t="s">
        <v>349</v>
      </c>
      <c r="C71" s="162">
        <v>1</v>
      </c>
      <c r="D71" s="163">
        <v>2357</v>
      </c>
      <c r="E71" s="162">
        <v>2216</v>
      </c>
      <c r="F71" s="162">
        <v>2250</v>
      </c>
      <c r="G71" s="143">
        <f>H71+I71+J71+K71+L71</f>
        <v>34</v>
      </c>
      <c r="H71" s="162"/>
      <c r="I71" s="162"/>
      <c r="J71" s="162"/>
      <c r="K71" s="162">
        <f>F71-E71</f>
        <v>34</v>
      </c>
      <c r="L71" s="163"/>
      <c r="M71" s="127">
        <f t="shared" si="40"/>
        <v>34</v>
      </c>
      <c r="N71" s="126">
        <f>M71</f>
        <v>34</v>
      </c>
      <c r="O71" s="126"/>
    </row>
    <row r="72" spans="1:15" s="142" customFormat="1" ht="31.5" hidden="1">
      <c r="A72" s="206"/>
      <c r="B72" s="152" t="s">
        <v>348</v>
      </c>
      <c r="C72" s="162">
        <v>1</v>
      </c>
      <c r="D72" s="163">
        <v>1188</v>
      </c>
      <c r="E72" s="162">
        <v>1054</v>
      </c>
      <c r="F72" s="162">
        <v>1094</v>
      </c>
      <c r="G72" s="143">
        <f>H72+I72+J72+K72+L72</f>
        <v>40</v>
      </c>
      <c r="H72" s="162"/>
      <c r="I72" s="162"/>
      <c r="J72" s="162"/>
      <c r="K72" s="162">
        <f>F72-E72</f>
        <v>40</v>
      </c>
      <c r="L72" s="163"/>
      <c r="M72" s="127">
        <f t="shared" si="40"/>
        <v>40</v>
      </c>
      <c r="N72" s="126">
        <f>M72</f>
        <v>40</v>
      </c>
      <c r="O72" s="126"/>
    </row>
    <row r="73" spans="1:15" hidden="1">
      <c r="A73" s="158" t="s">
        <v>214</v>
      </c>
      <c r="B73" s="157" t="s">
        <v>347</v>
      </c>
      <c r="C73" s="156">
        <f t="shared" ref="C73:L73" si="41">SUM(C74:C76)</f>
        <v>3</v>
      </c>
      <c r="D73" s="156">
        <f t="shared" si="41"/>
        <v>22207</v>
      </c>
      <c r="E73" s="156">
        <f t="shared" si="41"/>
        <v>19605</v>
      </c>
      <c r="F73" s="156">
        <f t="shared" si="41"/>
        <v>21294</v>
      </c>
      <c r="G73" s="156">
        <f t="shared" si="41"/>
        <v>1689</v>
      </c>
      <c r="H73" s="140">
        <f t="shared" si="41"/>
        <v>0</v>
      </c>
      <c r="I73" s="140">
        <f t="shared" si="41"/>
        <v>0</v>
      </c>
      <c r="J73" s="156">
        <f t="shared" si="41"/>
        <v>0</v>
      </c>
      <c r="K73" s="156">
        <f t="shared" si="41"/>
        <v>1689</v>
      </c>
      <c r="L73" s="156">
        <f t="shared" si="41"/>
        <v>0</v>
      </c>
      <c r="M73" s="127">
        <f t="shared" si="40"/>
        <v>1689</v>
      </c>
      <c r="N73" s="127"/>
      <c r="O73" s="127">
        <f t="shared" ref="O73:O82" si="42">M73</f>
        <v>1689</v>
      </c>
    </row>
    <row r="74" spans="1:15" s="142" customFormat="1" ht="47.25" hidden="1">
      <c r="A74" s="206"/>
      <c r="B74" s="207" t="s">
        <v>346</v>
      </c>
      <c r="C74" s="156">
        <v>1</v>
      </c>
      <c r="D74" s="127">
        <v>3007</v>
      </c>
      <c r="E74" s="156">
        <v>2765</v>
      </c>
      <c r="F74" s="156">
        <v>2845</v>
      </c>
      <c r="G74" s="143">
        <f>H74+I74+J74+K74+L74</f>
        <v>80</v>
      </c>
      <c r="H74" s="156"/>
      <c r="I74" s="156"/>
      <c r="J74" s="156"/>
      <c r="K74" s="156">
        <f>+F74-E74</f>
        <v>80</v>
      </c>
      <c r="L74" s="127"/>
      <c r="M74" s="127">
        <f t="shared" si="40"/>
        <v>80</v>
      </c>
      <c r="N74" s="126"/>
      <c r="O74" s="126">
        <f t="shared" si="42"/>
        <v>80</v>
      </c>
    </row>
    <row r="75" spans="1:15" s="142" customFormat="1" ht="31.5" hidden="1">
      <c r="A75" s="206"/>
      <c r="B75" s="205" t="s">
        <v>345</v>
      </c>
      <c r="C75" s="156">
        <v>1</v>
      </c>
      <c r="D75" s="127">
        <v>14700</v>
      </c>
      <c r="E75" s="156">
        <v>14000</v>
      </c>
      <c r="F75" s="156">
        <v>14300</v>
      </c>
      <c r="G75" s="143">
        <f>H75+I75+J75+K75+L75</f>
        <v>300</v>
      </c>
      <c r="H75" s="156"/>
      <c r="I75" s="156"/>
      <c r="J75" s="156"/>
      <c r="K75" s="156">
        <f>+F75-E75</f>
        <v>300</v>
      </c>
      <c r="L75" s="127"/>
      <c r="M75" s="127">
        <f t="shared" si="40"/>
        <v>300</v>
      </c>
      <c r="N75" s="126"/>
      <c r="O75" s="126">
        <f t="shared" si="42"/>
        <v>300</v>
      </c>
    </row>
    <row r="76" spans="1:15" s="142" customFormat="1" ht="47.25" hidden="1">
      <c r="A76" s="206"/>
      <c r="B76" s="205" t="s">
        <v>344</v>
      </c>
      <c r="C76" s="156">
        <v>1</v>
      </c>
      <c r="D76" s="127">
        <v>4500</v>
      </c>
      <c r="E76" s="156">
        <v>2840</v>
      </c>
      <c r="F76" s="156">
        <v>4149</v>
      </c>
      <c r="G76" s="143">
        <f>H76+I76+J76+K76+L76</f>
        <v>1309</v>
      </c>
      <c r="H76" s="156"/>
      <c r="I76" s="156"/>
      <c r="J76" s="156"/>
      <c r="K76" s="156">
        <f>+F76-E76</f>
        <v>1309</v>
      </c>
      <c r="L76" s="127"/>
      <c r="M76" s="127">
        <f t="shared" si="40"/>
        <v>1309</v>
      </c>
      <c r="N76" s="126"/>
      <c r="O76" s="126">
        <f t="shared" si="42"/>
        <v>1309</v>
      </c>
    </row>
    <row r="77" spans="1:15" hidden="1">
      <c r="A77" s="153" t="s">
        <v>214</v>
      </c>
      <c r="B77" s="157" t="s">
        <v>175</v>
      </c>
      <c r="C77" s="156">
        <f t="shared" ref="C77:L77" si="43">SUM(C78:C82)</f>
        <v>5</v>
      </c>
      <c r="D77" s="156">
        <f t="shared" si="43"/>
        <v>29509</v>
      </c>
      <c r="E77" s="156">
        <f t="shared" si="43"/>
        <v>15798</v>
      </c>
      <c r="F77" s="156">
        <f t="shared" si="43"/>
        <v>17488</v>
      </c>
      <c r="G77" s="156">
        <f t="shared" si="43"/>
        <v>1690</v>
      </c>
      <c r="H77" s="140">
        <f t="shared" si="43"/>
        <v>0</v>
      </c>
      <c r="I77" s="140">
        <f t="shared" si="43"/>
        <v>0</v>
      </c>
      <c r="J77" s="156">
        <f t="shared" si="43"/>
        <v>0</v>
      </c>
      <c r="K77" s="156">
        <f t="shared" si="43"/>
        <v>1690</v>
      </c>
      <c r="L77" s="156">
        <f t="shared" si="43"/>
        <v>0</v>
      </c>
      <c r="M77" s="127">
        <f t="shared" si="40"/>
        <v>1690</v>
      </c>
      <c r="N77" s="126"/>
      <c r="O77" s="126">
        <f t="shared" si="42"/>
        <v>1690</v>
      </c>
    </row>
    <row r="78" spans="1:15" s="142" customFormat="1" ht="31.5" hidden="1">
      <c r="A78" s="206"/>
      <c r="B78" s="207" t="s">
        <v>343</v>
      </c>
      <c r="C78" s="156">
        <v>1</v>
      </c>
      <c r="D78" s="127">
        <v>13000</v>
      </c>
      <c r="E78" s="156">
        <v>10400</v>
      </c>
      <c r="F78" s="156">
        <v>11427</v>
      </c>
      <c r="G78" s="143">
        <f>H78+I78+J78+K78+L78</f>
        <v>1027</v>
      </c>
      <c r="H78" s="156"/>
      <c r="I78" s="156"/>
      <c r="J78" s="156"/>
      <c r="K78" s="156">
        <f>+F78-E78</f>
        <v>1027</v>
      </c>
      <c r="L78" s="127"/>
      <c r="M78" s="127">
        <f t="shared" si="40"/>
        <v>1027</v>
      </c>
      <c r="N78" s="126"/>
      <c r="O78" s="126">
        <f t="shared" si="42"/>
        <v>1027</v>
      </c>
    </row>
    <row r="79" spans="1:15" s="142" customFormat="1" hidden="1">
      <c r="A79" s="206"/>
      <c r="B79" s="205" t="s">
        <v>342</v>
      </c>
      <c r="C79" s="156">
        <v>1</v>
      </c>
      <c r="D79" s="127">
        <v>3800</v>
      </c>
      <c r="E79" s="156">
        <v>3400</v>
      </c>
      <c r="F79" s="156">
        <v>3570</v>
      </c>
      <c r="G79" s="143">
        <f>H79+I79+J79+K79+L79</f>
        <v>170</v>
      </c>
      <c r="H79" s="156"/>
      <c r="I79" s="156"/>
      <c r="J79" s="156"/>
      <c r="K79" s="156">
        <f>+F79-E79</f>
        <v>170</v>
      </c>
      <c r="L79" s="127"/>
      <c r="M79" s="127">
        <f t="shared" si="40"/>
        <v>170</v>
      </c>
      <c r="N79" s="126"/>
      <c r="O79" s="126">
        <f t="shared" si="42"/>
        <v>170</v>
      </c>
    </row>
    <row r="80" spans="1:15" s="142" customFormat="1" ht="31.5" hidden="1">
      <c r="A80" s="206"/>
      <c r="B80" s="205" t="s">
        <v>341</v>
      </c>
      <c r="C80" s="156">
        <v>1</v>
      </c>
      <c r="D80" s="127">
        <v>563</v>
      </c>
      <c r="E80" s="156">
        <v>462</v>
      </c>
      <c r="F80" s="156">
        <v>518</v>
      </c>
      <c r="G80" s="143">
        <f>H80+I80+J80+K80+L80</f>
        <v>56</v>
      </c>
      <c r="H80" s="156"/>
      <c r="I80" s="156"/>
      <c r="J80" s="156"/>
      <c r="K80" s="156">
        <f>+F80-E80</f>
        <v>56</v>
      </c>
      <c r="L80" s="127"/>
      <c r="M80" s="127">
        <f t="shared" si="40"/>
        <v>56</v>
      </c>
      <c r="N80" s="126"/>
      <c r="O80" s="126">
        <f t="shared" si="42"/>
        <v>56</v>
      </c>
    </row>
    <row r="81" spans="1:15" s="142" customFormat="1" ht="47.25" hidden="1">
      <c r="A81" s="206"/>
      <c r="B81" s="205" t="s">
        <v>340</v>
      </c>
      <c r="C81" s="156">
        <v>1</v>
      </c>
      <c r="D81" s="127">
        <v>400</v>
      </c>
      <c r="E81" s="156">
        <v>336</v>
      </c>
      <c r="F81" s="156">
        <v>373</v>
      </c>
      <c r="G81" s="143">
        <f>H81+I81+J81+K81+L81</f>
        <v>37</v>
      </c>
      <c r="H81" s="156"/>
      <c r="I81" s="156"/>
      <c r="J81" s="156"/>
      <c r="K81" s="156">
        <f>+F81-E81</f>
        <v>37</v>
      </c>
      <c r="L81" s="127"/>
      <c r="M81" s="127">
        <f t="shared" si="40"/>
        <v>37</v>
      </c>
      <c r="N81" s="126"/>
      <c r="O81" s="126">
        <f t="shared" si="42"/>
        <v>37</v>
      </c>
    </row>
    <row r="82" spans="1:15" s="142" customFormat="1" ht="31.5" hidden="1">
      <c r="A82" s="206"/>
      <c r="B82" s="205" t="s">
        <v>339</v>
      </c>
      <c r="C82" s="156">
        <v>1</v>
      </c>
      <c r="D82" s="127">
        <v>11746</v>
      </c>
      <c r="E82" s="156">
        <v>1200</v>
      </c>
      <c r="F82" s="156">
        <v>1600</v>
      </c>
      <c r="G82" s="143">
        <f>H82+I82+J82+K82+L82</f>
        <v>400</v>
      </c>
      <c r="H82" s="156"/>
      <c r="I82" s="156"/>
      <c r="J82" s="156"/>
      <c r="K82" s="156">
        <f>+F82-E82</f>
        <v>400</v>
      </c>
      <c r="L82" s="127"/>
      <c r="M82" s="127">
        <f t="shared" si="40"/>
        <v>400</v>
      </c>
      <c r="N82" s="126"/>
      <c r="O82" s="126">
        <f t="shared" si="42"/>
        <v>400</v>
      </c>
    </row>
    <row r="83" spans="1:15" s="154" customFormat="1">
      <c r="A83" s="146">
        <v>6</v>
      </c>
      <c r="B83" s="145" t="s">
        <v>44</v>
      </c>
      <c r="C83" s="143">
        <f t="shared" ref="C83:G83" si="44">+C84</f>
        <v>1</v>
      </c>
      <c r="D83" s="143">
        <f t="shared" si="44"/>
        <v>3374</v>
      </c>
      <c r="E83" s="143">
        <f t="shared" si="44"/>
        <v>2323</v>
      </c>
      <c r="F83" s="143">
        <f t="shared" si="44"/>
        <v>3323</v>
      </c>
      <c r="G83" s="143">
        <f t="shared" si="44"/>
        <v>1000</v>
      </c>
      <c r="H83" s="144">
        <f t="shared" ref="H83:O83" si="45">H84+H86+H89</f>
        <v>0</v>
      </c>
      <c r="I83" s="144">
        <f t="shared" si="45"/>
        <v>0</v>
      </c>
      <c r="J83" s="143">
        <f t="shared" ref="J83:L83" si="46">+J84</f>
        <v>0</v>
      </c>
      <c r="K83" s="143">
        <f t="shared" si="46"/>
        <v>1000</v>
      </c>
      <c r="L83" s="143">
        <f t="shared" si="46"/>
        <v>0</v>
      </c>
      <c r="M83" s="143">
        <f t="shared" si="45"/>
        <v>2800</v>
      </c>
      <c r="N83" s="143">
        <f>+N84</f>
        <v>1000</v>
      </c>
      <c r="O83" s="143">
        <f t="shared" si="45"/>
        <v>1800</v>
      </c>
    </row>
    <row r="84" spans="1:15">
      <c r="A84" s="158" t="s">
        <v>414</v>
      </c>
      <c r="B84" s="152" t="s">
        <v>338</v>
      </c>
      <c r="C84" s="156">
        <f t="shared" ref="C84:L84" si="47">SUM(C85:C85)</f>
        <v>1</v>
      </c>
      <c r="D84" s="156">
        <f t="shared" si="47"/>
        <v>3374</v>
      </c>
      <c r="E84" s="156">
        <f t="shared" si="47"/>
        <v>2323</v>
      </c>
      <c r="F84" s="156">
        <f t="shared" si="47"/>
        <v>3323</v>
      </c>
      <c r="G84" s="156">
        <f t="shared" si="47"/>
        <v>1000</v>
      </c>
      <c r="H84" s="140">
        <f t="shared" si="47"/>
        <v>0</v>
      </c>
      <c r="I84" s="140">
        <f t="shared" si="47"/>
        <v>0</v>
      </c>
      <c r="J84" s="156">
        <f t="shared" si="47"/>
        <v>0</v>
      </c>
      <c r="K84" s="156">
        <f t="shared" si="47"/>
        <v>1000</v>
      </c>
      <c r="L84" s="156">
        <f t="shared" si="47"/>
        <v>0</v>
      </c>
      <c r="M84" s="127">
        <f>G84</f>
        <v>1000</v>
      </c>
      <c r="N84" s="127">
        <f>M84</f>
        <v>1000</v>
      </c>
      <c r="O84" s="127"/>
    </row>
    <row r="85" spans="1:15" s="142" customFormat="1" ht="31.5" hidden="1">
      <c r="A85" s="153"/>
      <c r="B85" s="152" t="s">
        <v>337</v>
      </c>
      <c r="C85" s="162">
        <v>1</v>
      </c>
      <c r="D85" s="163">
        <v>3374</v>
      </c>
      <c r="E85" s="162">
        <v>2323</v>
      </c>
      <c r="F85" s="162">
        <v>3323</v>
      </c>
      <c r="G85" s="143">
        <f>+F85-E85</f>
        <v>1000</v>
      </c>
      <c r="H85" s="162"/>
      <c r="I85" s="162"/>
      <c r="J85" s="162"/>
      <c r="K85" s="162">
        <f>F85-E85</f>
        <v>1000</v>
      </c>
      <c r="L85" s="163"/>
      <c r="M85" s="127">
        <f>G85</f>
        <v>1000</v>
      </c>
      <c r="N85" s="126">
        <f>G85</f>
        <v>1000</v>
      </c>
      <c r="O85" s="126"/>
    </row>
    <row r="86" spans="1:15" hidden="1">
      <c r="A86" s="158" t="s">
        <v>214</v>
      </c>
      <c r="B86" s="152" t="s">
        <v>336</v>
      </c>
      <c r="C86" s="156">
        <f t="shared" ref="C86:O86" si="48">SUM(C87:C88)</f>
        <v>2</v>
      </c>
      <c r="D86" s="156">
        <f t="shared" si="48"/>
        <v>28495</v>
      </c>
      <c r="E86" s="156">
        <f t="shared" si="48"/>
        <v>24200</v>
      </c>
      <c r="F86" s="156">
        <f t="shared" si="48"/>
        <v>26000</v>
      </c>
      <c r="G86" s="156">
        <f t="shared" si="48"/>
        <v>1800</v>
      </c>
      <c r="H86" s="140">
        <f t="shared" si="48"/>
        <v>0</v>
      </c>
      <c r="I86" s="140">
        <f t="shared" si="48"/>
        <v>0</v>
      </c>
      <c r="J86" s="156">
        <f t="shared" si="48"/>
        <v>0</v>
      </c>
      <c r="K86" s="156">
        <f t="shared" si="48"/>
        <v>1800</v>
      </c>
      <c r="L86" s="156">
        <f t="shared" si="48"/>
        <v>0</v>
      </c>
      <c r="M86" s="156">
        <f t="shared" si="48"/>
        <v>1800</v>
      </c>
      <c r="N86" s="156">
        <f t="shared" si="48"/>
        <v>0</v>
      </c>
      <c r="O86" s="156">
        <f t="shared" si="48"/>
        <v>1800</v>
      </c>
    </row>
    <row r="87" spans="1:15" s="142" customFormat="1" hidden="1">
      <c r="A87" s="153"/>
      <c r="B87" s="203" t="s">
        <v>335</v>
      </c>
      <c r="C87" s="147">
        <v>1</v>
      </c>
      <c r="D87" s="128">
        <v>14000</v>
      </c>
      <c r="E87" s="147">
        <v>12200</v>
      </c>
      <c r="F87" s="147">
        <v>12500</v>
      </c>
      <c r="G87" s="136">
        <f>H87+I87+J87+K87+L87</f>
        <v>300</v>
      </c>
      <c r="H87" s="204"/>
      <c r="I87" s="204"/>
      <c r="J87" s="204"/>
      <c r="K87" s="147">
        <f>F87-E87</f>
        <v>300</v>
      </c>
      <c r="L87" s="204"/>
      <c r="M87" s="127">
        <f>G87</f>
        <v>300</v>
      </c>
      <c r="N87" s="126"/>
      <c r="O87" s="126">
        <f>M87</f>
        <v>300</v>
      </c>
    </row>
    <row r="88" spans="1:15" s="142" customFormat="1" ht="31.5" hidden="1">
      <c r="A88" s="153"/>
      <c r="B88" s="203" t="s">
        <v>334</v>
      </c>
      <c r="C88" s="162">
        <v>1</v>
      </c>
      <c r="D88" s="189">
        <v>14495</v>
      </c>
      <c r="E88" s="162">
        <v>12000</v>
      </c>
      <c r="F88" s="162">
        <v>13500</v>
      </c>
      <c r="G88" s="136">
        <f>H88+I88+J88+K88+L88</f>
        <v>1500</v>
      </c>
      <c r="H88" s="162"/>
      <c r="I88" s="162"/>
      <c r="J88" s="162"/>
      <c r="K88" s="147">
        <f>F88-E88</f>
        <v>1500</v>
      </c>
      <c r="L88" s="163"/>
      <c r="M88" s="127">
        <f>G88</f>
        <v>1500</v>
      </c>
      <c r="N88" s="126"/>
      <c r="O88" s="126">
        <f>M88</f>
        <v>1500</v>
      </c>
    </row>
    <row r="89" spans="1:15" s="132" customFormat="1" ht="17.25" hidden="1">
      <c r="A89" s="135" t="s">
        <v>214</v>
      </c>
      <c r="B89" s="141" t="s">
        <v>212</v>
      </c>
      <c r="C89" s="162">
        <f t="shared" ref="C89:L89" si="49">SUM(C90:C91)</f>
        <v>0</v>
      </c>
      <c r="D89" s="162">
        <f t="shared" si="49"/>
        <v>0</v>
      </c>
      <c r="E89" s="162">
        <f t="shared" si="49"/>
        <v>0</v>
      </c>
      <c r="F89" s="162">
        <f t="shared" si="49"/>
        <v>0</v>
      </c>
      <c r="G89" s="140">
        <f t="shared" si="49"/>
        <v>0</v>
      </c>
      <c r="H89" s="140">
        <f t="shared" si="49"/>
        <v>0</v>
      </c>
      <c r="I89" s="140">
        <f t="shared" si="49"/>
        <v>0</v>
      </c>
      <c r="J89" s="140">
        <f t="shared" si="49"/>
        <v>0</v>
      </c>
      <c r="K89" s="140">
        <f t="shared" si="49"/>
        <v>0</v>
      </c>
      <c r="L89" s="140">
        <f t="shared" si="49"/>
        <v>0</v>
      </c>
      <c r="M89" s="127">
        <f>G89</f>
        <v>0</v>
      </c>
      <c r="N89" s="126"/>
      <c r="O89" s="126">
        <f>M89</f>
        <v>0</v>
      </c>
    </row>
    <row r="90" spans="1:15" s="142" customFormat="1" hidden="1">
      <c r="A90" s="153"/>
      <c r="B90" s="203"/>
      <c r="C90" s="147"/>
      <c r="D90" s="128"/>
      <c r="E90" s="147"/>
      <c r="F90" s="147"/>
      <c r="G90" s="136"/>
      <c r="H90" s="204"/>
      <c r="I90" s="204"/>
      <c r="J90" s="204"/>
      <c r="K90" s="147"/>
      <c r="L90" s="204"/>
      <c r="M90" s="127"/>
      <c r="N90" s="126"/>
      <c r="O90" s="126"/>
    </row>
    <row r="91" spans="1:15" s="142" customFormat="1" hidden="1">
      <c r="A91" s="153"/>
      <c r="B91" s="203"/>
      <c r="C91" s="162"/>
      <c r="D91" s="189"/>
      <c r="E91" s="162"/>
      <c r="F91" s="162"/>
      <c r="G91" s="136"/>
      <c r="H91" s="162"/>
      <c r="I91" s="162"/>
      <c r="J91" s="162"/>
      <c r="K91" s="147"/>
      <c r="L91" s="163"/>
      <c r="M91" s="127"/>
      <c r="N91" s="126"/>
      <c r="O91" s="126"/>
    </row>
    <row r="92" spans="1:15" s="154" customFormat="1">
      <c r="A92" s="146">
        <v>7</v>
      </c>
      <c r="B92" s="145" t="s">
        <v>43</v>
      </c>
      <c r="C92" s="143">
        <f t="shared" ref="C92:G92" si="50">+C93</f>
        <v>6</v>
      </c>
      <c r="D92" s="143">
        <f t="shared" si="50"/>
        <v>19146</v>
      </c>
      <c r="E92" s="143">
        <f t="shared" si="50"/>
        <v>15641.724999999999</v>
      </c>
      <c r="F92" s="143">
        <f t="shared" si="50"/>
        <v>17006</v>
      </c>
      <c r="G92" s="143">
        <f t="shared" si="50"/>
        <v>1364.2750000000001</v>
      </c>
      <c r="H92" s="144">
        <f t="shared" ref="H92:O92" si="51">H93+H100</f>
        <v>0</v>
      </c>
      <c r="I92" s="144">
        <f t="shared" si="51"/>
        <v>0</v>
      </c>
      <c r="J92" s="143">
        <f t="shared" ref="J92:L92" si="52">+J93</f>
        <v>0</v>
      </c>
      <c r="K92" s="143">
        <f t="shared" si="52"/>
        <v>1364.2750000000001</v>
      </c>
      <c r="L92" s="143">
        <f t="shared" si="52"/>
        <v>0</v>
      </c>
      <c r="M92" s="143">
        <f t="shared" si="51"/>
        <v>1364.2750000000001</v>
      </c>
      <c r="N92" s="143">
        <f>+N93</f>
        <v>1364.2750000000001</v>
      </c>
      <c r="O92" s="143">
        <f t="shared" si="51"/>
        <v>0</v>
      </c>
    </row>
    <row r="93" spans="1:15">
      <c r="A93" s="158" t="s">
        <v>414</v>
      </c>
      <c r="B93" s="152" t="s">
        <v>215</v>
      </c>
      <c r="C93" s="156">
        <f t="shared" ref="C93:M93" si="53">SUM(C94:C99)</f>
        <v>6</v>
      </c>
      <c r="D93" s="156">
        <f t="shared" si="53"/>
        <v>19146</v>
      </c>
      <c r="E93" s="156">
        <f t="shared" si="53"/>
        <v>15641.724999999999</v>
      </c>
      <c r="F93" s="156">
        <f t="shared" si="53"/>
        <v>17006</v>
      </c>
      <c r="G93" s="156">
        <f t="shared" si="53"/>
        <v>1364.2750000000001</v>
      </c>
      <c r="H93" s="140">
        <f t="shared" si="53"/>
        <v>0</v>
      </c>
      <c r="I93" s="140">
        <f t="shared" si="53"/>
        <v>0</v>
      </c>
      <c r="J93" s="156">
        <f t="shared" si="53"/>
        <v>0</v>
      </c>
      <c r="K93" s="156">
        <f t="shared" si="53"/>
        <v>1364.2750000000001</v>
      </c>
      <c r="L93" s="156">
        <f t="shared" si="53"/>
        <v>0</v>
      </c>
      <c r="M93" s="156">
        <f t="shared" si="53"/>
        <v>1364.2750000000001</v>
      </c>
      <c r="N93" s="127">
        <f t="shared" ref="N93:N100" si="54">M93</f>
        <v>1364.2750000000001</v>
      </c>
      <c r="O93" s="127"/>
    </row>
    <row r="94" spans="1:15" s="142" customFormat="1" hidden="1">
      <c r="A94" s="153"/>
      <c r="B94" s="152" t="s">
        <v>333</v>
      </c>
      <c r="C94" s="162">
        <v>1</v>
      </c>
      <c r="D94" s="163">
        <v>5990</v>
      </c>
      <c r="E94" s="162">
        <v>5226</v>
      </c>
      <c r="F94" s="162">
        <v>5506</v>
      </c>
      <c r="G94" s="143">
        <f>H94+I94+J94+K94+L94</f>
        <v>280</v>
      </c>
      <c r="H94" s="162"/>
      <c r="I94" s="162"/>
      <c r="J94" s="162"/>
      <c r="K94" s="162">
        <f t="shared" ref="K94:K99" si="55">F94-E94</f>
        <v>280</v>
      </c>
      <c r="L94" s="163"/>
      <c r="M94" s="127">
        <f t="shared" ref="M94:M100" si="56">G94</f>
        <v>280</v>
      </c>
      <c r="N94" s="126">
        <f t="shared" si="54"/>
        <v>280</v>
      </c>
      <c r="O94" s="126"/>
    </row>
    <row r="95" spans="1:15" s="142" customFormat="1" hidden="1">
      <c r="A95" s="153"/>
      <c r="B95" s="152" t="s">
        <v>332</v>
      </c>
      <c r="C95" s="162">
        <v>1</v>
      </c>
      <c r="D95" s="163">
        <v>764</v>
      </c>
      <c r="E95" s="162">
        <f>F95-G95</f>
        <v>607.06100000000004</v>
      </c>
      <c r="F95" s="162">
        <v>692</v>
      </c>
      <c r="G95" s="143">
        <v>84.938999999999993</v>
      </c>
      <c r="H95" s="162"/>
      <c r="I95" s="162"/>
      <c r="J95" s="162"/>
      <c r="K95" s="162">
        <f t="shared" si="55"/>
        <v>84.938999999999965</v>
      </c>
      <c r="L95" s="163"/>
      <c r="M95" s="127">
        <f t="shared" si="56"/>
        <v>84.938999999999993</v>
      </c>
      <c r="N95" s="126">
        <f t="shared" si="54"/>
        <v>84.938999999999993</v>
      </c>
      <c r="O95" s="126"/>
    </row>
    <row r="96" spans="1:15" s="142" customFormat="1" hidden="1">
      <c r="A96" s="153"/>
      <c r="B96" s="152" t="s">
        <v>331</v>
      </c>
      <c r="C96" s="162">
        <v>1</v>
      </c>
      <c r="D96" s="163">
        <v>962</v>
      </c>
      <c r="E96" s="162">
        <f>F96-G96</f>
        <v>717.36400000000003</v>
      </c>
      <c r="F96" s="162">
        <v>747</v>
      </c>
      <c r="G96" s="143">
        <v>29.635999999999999</v>
      </c>
      <c r="H96" s="162"/>
      <c r="I96" s="162"/>
      <c r="J96" s="162"/>
      <c r="K96" s="162">
        <f t="shared" si="55"/>
        <v>29.635999999999967</v>
      </c>
      <c r="L96" s="163"/>
      <c r="M96" s="127">
        <f t="shared" si="56"/>
        <v>29.635999999999999</v>
      </c>
      <c r="N96" s="126">
        <f t="shared" si="54"/>
        <v>29.635999999999999</v>
      </c>
      <c r="O96" s="126"/>
    </row>
    <row r="97" spans="1:15" s="142" customFormat="1" hidden="1">
      <c r="A97" s="153"/>
      <c r="B97" s="152" t="s">
        <v>330</v>
      </c>
      <c r="C97" s="162">
        <v>1</v>
      </c>
      <c r="D97" s="163">
        <v>4151</v>
      </c>
      <c r="E97" s="162">
        <v>2530</v>
      </c>
      <c r="F97" s="162">
        <v>2966</v>
      </c>
      <c r="G97" s="143">
        <f>H97+I97+J97+K97+L97</f>
        <v>436</v>
      </c>
      <c r="H97" s="162"/>
      <c r="I97" s="162"/>
      <c r="J97" s="162"/>
      <c r="K97" s="162">
        <f t="shared" si="55"/>
        <v>436</v>
      </c>
      <c r="L97" s="163"/>
      <c r="M97" s="127">
        <f t="shared" si="56"/>
        <v>436</v>
      </c>
      <c r="N97" s="126">
        <f t="shared" si="54"/>
        <v>436</v>
      </c>
      <c r="O97" s="126"/>
    </row>
    <row r="98" spans="1:15" s="142" customFormat="1" hidden="1">
      <c r="A98" s="153"/>
      <c r="B98" s="152" t="s">
        <v>329</v>
      </c>
      <c r="C98" s="162">
        <v>1</v>
      </c>
      <c r="D98" s="163">
        <v>3566</v>
      </c>
      <c r="E98" s="162">
        <f>F98-G98</f>
        <v>3061.6379999999999</v>
      </c>
      <c r="F98" s="162">
        <v>3382</v>
      </c>
      <c r="G98" s="143">
        <v>320.36200000000002</v>
      </c>
      <c r="H98" s="162"/>
      <c r="I98" s="162"/>
      <c r="J98" s="162"/>
      <c r="K98" s="162">
        <f t="shared" si="55"/>
        <v>320.36200000000008</v>
      </c>
      <c r="L98" s="163"/>
      <c r="M98" s="127">
        <f t="shared" si="56"/>
        <v>320.36200000000002</v>
      </c>
      <c r="N98" s="126">
        <f t="shared" si="54"/>
        <v>320.36200000000002</v>
      </c>
      <c r="O98" s="126"/>
    </row>
    <row r="99" spans="1:15" s="142" customFormat="1" ht="34.5" hidden="1" customHeight="1">
      <c r="A99" s="153"/>
      <c r="B99" s="152" t="s">
        <v>328</v>
      </c>
      <c r="C99" s="162">
        <v>1</v>
      </c>
      <c r="D99" s="163">
        <v>3713</v>
      </c>
      <c r="E99" s="162">
        <f>F99-G99</f>
        <v>3499.6619999999998</v>
      </c>
      <c r="F99" s="162">
        <v>3713</v>
      </c>
      <c r="G99" s="143">
        <v>213.33799999999999</v>
      </c>
      <c r="H99" s="162"/>
      <c r="I99" s="162"/>
      <c r="J99" s="162"/>
      <c r="K99" s="162">
        <f t="shared" si="55"/>
        <v>213.33800000000019</v>
      </c>
      <c r="L99" s="163"/>
      <c r="M99" s="127">
        <f t="shared" si="56"/>
        <v>213.33799999999999</v>
      </c>
      <c r="N99" s="126">
        <f t="shared" si="54"/>
        <v>213.33799999999999</v>
      </c>
      <c r="O99" s="126"/>
    </row>
    <row r="100" spans="1:15" ht="31.5" hidden="1">
      <c r="A100" s="158" t="s">
        <v>214</v>
      </c>
      <c r="B100" s="152" t="s">
        <v>213</v>
      </c>
      <c r="C100" s="156"/>
      <c r="D100" s="156"/>
      <c r="E100" s="156"/>
      <c r="F100" s="156"/>
      <c r="G100" s="156"/>
      <c r="H100" s="140"/>
      <c r="I100" s="140"/>
      <c r="J100" s="156"/>
      <c r="K100" s="156"/>
      <c r="L100" s="156"/>
      <c r="M100" s="127">
        <f t="shared" si="56"/>
        <v>0</v>
      </c>
      <c r="N100" s="127">
        <f t="shared" si="54"/>
        <v>0</v>
      </c>
      <c r="O100" s="127">
        <f>M100</f>
        <v>0</v>
      </c>
    </row>
    <row r="101" spans="1:15" s="202" customFormat="1">
      <c r="A101" s="146">
        <v>8</v>
      </c>
      <c r="B101" s="165" t="s">
        <v>42</v>
      </c>
      <c r="C101" s="143">
        <f t="shared" ref="C101:G101" si="57">+C102</f>
        <v>0</v>
      </c>
      <c r="D101" s="143">
        <f t="shared" si="57"/>
        <v>0</v>
      </c>
      <c r="E101" s="143">
        <f t="shared" si="57"/>
        <v>0</v>
      </c>
      <c r="F101" s="143">
        <f t="shared" si="57"/>
        <v>0</v>
      </c>
      <c r="G101" s="143">
        <f t="shared" si="57"/>
        <v>0</v>
      </c>
      <c r="H101" s="144">
        <f t="shared" ref="H101:O101" si="58">H102+H103+H104</f>
        <v>0</v>
      </c>
      <c r="I101" s="144">
        <f t="shared" si="58"/>
        <v>0</v>
      </c>
      <c r="J101" s="143">
        <f t="shared" ref="J101:L101" si="59">+J102</f>
        <v>0</v>
      </c>
      <c r="K101" s="143">
        <f t="shared" si="59"/>
        <v>0</v>
      </c>
      <c r="L101" s="143">
        <f t="shared" si="59"/>
        <v>0</v>
      </c>
      <c r="M101" s="143">
        <f t="shared" si="58"/>
        <v>2800</v>
      </c>
      <c r="N101" s="143">
        <f>+N102</f>
        <v>0</v>
      </c>
      <c r="O101" s="143">
        <f t="shared" si="58"/>
        <v>2800</v>
      </c>
    </row>
    <row r="102" spans="1:15">
      <c r="A102" s="158" t="s">
        <v>414</v>
      </c>
      <c r="B102" s="152" t="s">
        <v>215</v>
      </c>
      <c r="C102" s="156"/>
      <c r="D102" s="156"/>
      <c r="E102" s="156"/>
      <c r="F102" s="156"/>
      <c r="G102" s="156"/>
      <c r="H102" s="140"/>
      <c r="I102" s="140"/>
      <c r="J102" s="156"/>
      <c r="K102" s="156"/>
      <c r="L102" s="156"/>
      <c r="M102" s="127"/>
      <c r="N102" s="127">
        <f>G102</f>
        <v>0</v>
      </c>
      <c r="O102" s="127"/>
    </row>
    <row r="103" spans="1:15" ht="31.5" hidden="1">
      <c r="A103" s="158" t="s">
        <v>214</v>
      </c>
      <c r="B103" s="157" t="s">
        <v>213</v>
      </c>
      <c r="C103" s="156">
        <v>0</v>
      </c>
      <c r="D103" s="156">
        <v>0</v>
      </c>
      <c r="E103" s="156">
        <v>0</v>
      </c>
      <c r="F103" s="156">
        <v>0</v>
      </c>
      <c r="G103" s="156">
        <v>0</v>
      </c>
      <c r="H103" s="162">
        <v>0</v>
      </c>
      <c r="I103" s="162">
        <v>0</v>
      </c>
      <c r="J103" s="156">
        <v>0</v>
      </c>
      <c r="K103" s="156">
        <v>0</v>
      </c>
      <c r="L103" s="156">
        <v>0</v>
      </c>
      <c r="M103" s="127">
        <f t="shared" ref="M103:M108" si="60">G103</f>
        <v>0</v>
      </c>
      <c r="N103" s="127">
        <f>M103</f>
        <v>0</v>
      </c>
      <c r="O103" s="127">
        <f t="shared" ref="O103:O108" si="61">M103</f>
        <v>0</v>
      </c>
    </row>
    <row r="104" spans="1:15" s="171" customFormat="1" ht="17.25" hidden="1">
      <c r="A104" s="135" t="s">
        <v>214</v>
      </c>
      <c r="B104" s="134" t="s">
        <v>175</v>
      </c>
      <c r="C104" s="140">
        <f t="shared" ref="C104:L104" si="62">SUM(C105:C108)</f>
        <v>4</v>
      </c>
      <c r="D104" s="140">
        <f t="shared" si="62"/>
        <v>23038</v>
      </c>
      <c r="E104" s="140">
        <f t="shared" si="62"/>
        <v>7000</v>
      </c>
      <c r="F104" s="140">
        <f t="shared" si="62"/>
        <v>9800</v>
      </c>
      <c r="G104" s="140">
        <f t="shared" si="62"/>
        <v>2800</v>
      </c>
      <c r="H104" s="140">
        <f t="shared" si="62"/>
        <v>0</v>
      </c>
      <c r="I104" s="140">
        <f t="shared" si="62"/>
        <v>0</v>
      </c>
      <c r="J104" s="140">
        <f t="shared" si="62"/>
        <v>0</v>
      </c>
      <c r="K104" s="140">
        <f t="shared" si="62"/>
        <v>2800</v>
      </c>
      <c r="L104" s="140">
        <f t="shared" si="62"/>
        <v>0</v>
      </c>
      <c r="M104" s="159">
        <f t="shared" si="60"/>
        <v>2800</v>
      </c>
      <c r="N104" s="126"/>
      <c r="O104" s="126">
        <f t="shared" si="61"/>
        <v>2800</v>
      </c>
    </row>
    <row r="105" spans="1:15" s="166" customFormat="1" ht="31.5" hidden="1">
      <c r="A105" s="153"/>
      <c r="B105" s="152" t="s">
        <v>327</v>
      </c>
      <c r="C105" s="156">
        <v>1</v>
      </c>
      <c r="D105" s="127">
        <v>10045</v>
      </c>
      <c r="E105" s="156">
        <v>4600</v>
      </c>
      <c r="F105" s="156">
        <v>5500</v>
      </c>
      <c r="G105" s="156">
        <f>H105+I105+J105+K105+L105</f>
        <v>900</v>
      </c>
      <c r="H105" s="156"/>
      <c r="I105" s="156"/>
      <c r="J105" s="156"/>
      <c r="K105" s="156">
        <f>F105-E105</f>
        <v>900</v>
      </c>
      <c r="L105" s="127"/>
      <c r="M105" s="127">
        <f t="shared" si="60"/>
        <v>900</v>
      </c>
      <c r="N105" s="126"/>
      <c r="O105" s="126">
        <f t="shared" si="61"/>
        <v>900</v>
      </c>
    </row>
    <row r="106" spans="1:15" s="166" customFormat="1" hidden="1">
      <c r="A106" s="153"/>
      <c r="B106" s="152" t="s">
        <v>326</v>
      </c>
      <c r="C106" s="156">
        <v>1</v>
      </c>
      <c r="D106" s="127">
        <v>4398</v>
      </c>
      <c r="E106" s="156">
        <v>1000</v>
      </c>
      <c r="F106" s="156">
        <v>1800</v>
      </c>
      <c r="G106" s="156">
        <f>H106+I106+J106+K106+L106</f>
        <v>800</v>
      </c>
      <c r="H106" s="156"/>
      <c r="I106" s="156"/>
      <c r="J106" s="156"/>
      <c r="K106" s="156">
        <f>F106-E106</f>
        <v>800</v>
      </c>
      <c r="L106" s="127"/>
      <c r="M106" s="127">
        <f t="shared" si="60"/>
        <v>800</v>
      </c>
      <c r="N106" s="126"/>
      <c r="O106" s="126">
        <f t="shared" si="61"/>
        <v>800</v>
      </c>
    </row>
    <row r="107" spans="1:15" s="166" customFormat="1" hidden="1">
      <c r="A107" s="153"/>
      <c r="B107" s="152" t="s">
        <v>325</v>
      </c>
      <c r="C107" s="156">
        <v>1</v>
      </c>
      <c r="D107" s="127">
        <v>6000</v>
      </c>
      <c r="E107" s="156">
        <v>1000</v>
      </c>
      <c r="F107" s="156">
        <v>1600</v>
      </c>
      <c r="G107" s="156">
        <f>H107+I107+J107+K107+L107</f>
        <v>600</v>
      </c>
      <c r="H107" s="156"/>
      <c r="I107" s="156"/>
      <c r="J107" s="156"/>
      <c r="K107" s="156">
        <f>F107-E107</f>
        <v>600</v>
      </c>
      <c r="L107" s="127"/>
      <c r="M107" s="127">
        <f t="shared" si="60"/>
        <v>600</v>
      </c>
      <c r="N107" s="126"/>
      <c r="O107" s="126">
        <f t="shared" si="61"/>
        <v>600</v>
      </c>
    </row>
    <row r="108" spans="1:15" s="166" customFormat="1" hidden="1">
      <c r="A108" s="153"/>
      <c r="B108" s="152" t="s">
        <v>324</v>
      </c>
      <c r="C108" s="156">
        <v>1</v>
      </c>
      <c r="D108" s="127">
        <v>2595</v>
      </c>
      <c r="E108" s="156">
        <v>400</v>
      </c>
      <c r="F108" s="156">
        <v>900</v>
      </c>
      <c r="G108" s="156">
        <f>H108+I108+J108+K108+L108</f>
        <v>500</v>
      </c>
      <c r="H108" s="156"/>
      <c r="I108" s="156"/>
      <c r="J108" s="156"/>
      <c r="K108" s="156">
        <f>F108-E108</f>
        <v>500</v>
      </c>
      <c r="L108" s="127"/>
      <c r="M108" s="127">
        <f t="shared" si="60"/>
        <v>500</v>
      </c>
      <c r="N108" s="126"/>
      <c r="O108" s="126">
        <f t="shared" si="61"/>
        <v>500</v>
      </c>
    </row>
    <row r="109" spans="1:15" s="154" customFormat="1">
      <c r="A109" s="146">
        <v>9</v>
      </c>
      <c r="B109" s="161" t="s">
        <v>41</v>
      </c>
      <c r="C109" s="159">
        <f t="shared" ref="C109:G109" si="63">+C110</f>
        <v>2</v>
      </c>
      <c r="D109" s="159">
        <f t="shared" si="63"/>
        <v>3550</v>
      </c>
      <c r="E109" s="159">
        <f t="shared" si="63"/>
        <v>2897</v>
      </c>
      <c r="F109" s="159">
        <f t="shared" si="63"/>
        <v>3378.6959999999999</v>
      </c>
      <c r="G109" s="159">
        <f t="shared" si="63"/>
        <v>481.6959999999998</v>
      </c>
      <c r="H109" s="160">
        <f t="shared" ref="H109:O109" si="64">H110+H113+H119</f>
        <v>0</v>
      </c>
      <c r="I109" s="160">
        <f t="shared" si="64"/>
        <v>0</v>
      </c>
      <c r="J109" s="159">
        <f t="shared" ref="J109:L109" si="65">+J110</f>
        <v>0</v>
      </c>
      <c r="K109" s="159">
        <f t="shared" si="65"/>
        <v>481.6959999999998</v>
      </c>
      <c r="L109" s="159">
        <f t="shared" si="65"/>
        <v>0</v>
      </c>
      <c r="M109" s="159">
        <f t="shared" si="64"/>
        <v>7906.6959999999999</v>
      </c>
      <c r="N109" s="159">
        <f>+N110</f>
        <v>481.6959999999998</v>
      </c>
      <c r="O109" s="159">
        <f t="shared" si="64"/>
        <v>7425</v>
      </c>
    </row>
    <row r="110" spans="1:15">
      <c r="A110" s="158" t="s">
        <v>414</v>
      </c>
      <c r="B110" s="152" t="s">
        <v>215</v>
      </c>
      <c r="C110" s="156">
        <f t="shared" ref="C110:L110" si="66">SUM(C111:C112)</f>
        <v>2</v>
      </c>
      <c r="D110" s="156">
        <f t="shared" si="66"/>
        <v>3550</v>
      </c>
      <c r="E110" s="156">
        <f t="shared" si="66"/>
        <v>2897</v>
      </c>
      <c r="F110" s="156">
        <f t="shared" si="66"/>
        <v>3378.6959999999999</v>
      </c>
      <c r="G110" s="156">
        <f t="shared" si="66"/>
        <v>481.6959999999998</v>
      </c>
      <c r="H110" s="140">
        <f t="shared" si="66"/>
        <v>0</v>
      </c>
      <c r="I110" s="140">
        <f t="shared" si="66"/>
        <v>0</v>
      </c>
      <c r="J110" s="156">
        <f t="shared" si="66"/>
        <v>0</v>
      </c>
      <c r="K110" s="156">
        <f t="shared" si="66"/>
        <v>481.6959999999998</v>
      </c>
      <c r="L110" s="156">
        <f t="shared" si="66"/>
        <v>0</v>
      </c>
      <c r="M110" s="127">
        <f>G110</f>
        <v>481.6959999999998</v>
      </c>
      <c r="N110" s="127">
        <f>M110</f>
        <v>481.6959999999998</v>
      </c>
      <c r="O110" s="127"/>
    </row>
    <row r="111" spans="1:15" s="166" customFormat="1" hidden="1">
      <c r="A111" s="153"/>
      <c r="B111" s="157" t="s">
        <v>323</v>
      </c>
      <c r="C111" s="156">
        <v>1</v>
      </c>
      <c r="D111" s="156">
        <v>1100</v>
      </c>
      <c r="E111" s="156">
        <v>550</v>
      </c>
      <c r="F111" s="156">
        <v>1019.737</v>
      </c>
      <c r="G111" s="156">
        <f>H111+I111+J111+K111+L111</f>
        <v>469.73699999999997</v>
      </c>
      <c r="H111" s="156"/>
      <c r="I111" s="156"/>
      <c r="J111" s="156"/>
      <c r="K111" s="156">
        <f>F111-E111</f>
        <v>469.73699999999997</v>
      </c>
      <c r="L111" s="127"/>
      <c r="M111" s="127">
        <f>G111</f>
        <v>469.73699999999997</v>
      </c>
      <c r="N111" s="126">
        <f>M111</f>
        <v>469.73699999999997</v>
      </c>
      <c r="O111" s="126"/>
    </row>
    <row r="112" spans="1:15" s="201" customFormat="1" ht="31.5" hidden="1">
      <c r="A112" s="170"/>
      <c r="B112" s="152" t="s">
        <v>322</v>
      </c>
      <c r="C112" s="156">
        <v>1</v>
      </c>
      <c r="D112" s="127">
        <v>2450</v>
      </c>
      <c r="E112" s="156">
        <v>2347</v>
      </c>
      <c r="F112" s="156">
        <v>2358.9589999999998</v>
      </c>
      <c r="G112" s="156">
        <f>+K112</f>
        <v>11.958999999999833</v>
      </c>
      <c r="H112" s="156"/>
      <c r="I112" s="156"/>
      <c r="J112" s="156"/>
      <c r="K112" s="156">
        <f>+F112-E112</f>
        <v>11.958999999999833</v>
      </c>
      <c r="L112" s="127"/>
      <c r="M112" s="127">
        <f>G112</f>
        <v>11.958999999999833</v>
      </c>
      <c r="N112" s="126">
        <f>M112</f>
        <v>11.958999999999833</v>
      </c>
      <c r="O112" s="126"/>
    </row>
    <row r="113" spans="1:15" ht="31.5" hidden="1">
      <c r="A113" s="158" t="s">
        <v>214</v>
      </c>
      <c r="B113" s="157" t="s">
        <v>213</v>
      </c>
      <c r="C113" s="156">
        <f t="shared" ref="C113:O113" si="67">SUM(C114:C118)</f>
        <v>5</v>
      </c>
      <c r="D113" s="156">
        <f t="shared" si="67"/>
        <v>16463</v>
      </c>
      <c r="E113" s="156">
        <f t="shared" si="67"/>
        <v>10045</v>
      </c>
      <c r="F113" s="156">
        <f t="shared" si="67"/>
        <v>16200</v>
      </c>
      <c r="G113" s="156">
        <f t="shared" si="67"/>
        <v>6155</v>
      </c>
      <c r="H113" s="140">
        <f t="shared" si="67"/>
        <v>0</v>
      </c>
      <c r="I113" s="140">
        <f t="shared" si="67"/>
        <v>0</v>
      </c>
      <c r="J113" s="156">
        <f t="shared" si="67"/>
        <v>0</v>
      </c>
      <c r="K113" s="156">
        <f t="shared" si="67"/>
        <v>6155</v>
      </c>
      <c r="L113" s="156">
        <f t="shared" si="67"/>
        <v>0</v>
      </c>
      <c r="M113" s="156">
        <f t="shared" si="67"/>
        <v>6155</v>
      </c>
      <c r="N113" s="156">
        <f t="shared" si="67"/>
        <v>0</v>
      </c>
      <c r="O113" s="156">
        <f t="shared" si="67"/>
        <v>6155</v>
      </c>
    </row>
    <row r="114" spans="1:15" s="166" customFormat="1" ht="31.5" hidden="1">
      <c r="A114" s="153"/>
      <c r="B114" s="157" t="s">
        <v>321</v>
      </c>
      <c r="C114" s="156">
        <v>1</v>
      </c>
      <c r="D114" s="156">
        <v>3477</v>
      </c>
      <c r="E114" s="156">
        <v>2000</v>
      </c>
      <c r="F114" s="156">
        <v>3400</v>
      </c>
      <c r="G114" s="156">
        <f>SUM(J114:L114)</f>
        <v>1400</v>
      </c>
      <c r="H114" s="156"/>
      <c r="I114" s="156"/>
      <c r="J114" s="156"/>
      <c r="K114" s="156">
        <f>F114-E114</f>
        <v>1400</v>
      </c>
      <c r="L114" s="156"/>
      <c r="M114" s="127">
        <f t="shared" ref="M114:M123" si="68">G114</f>
        <v>1400</v>
      </c>
      <c r="N114" s="127"/>
      <c r="O114" s="127">
        <f t="shared" ref="O114:O123" si="69">G114</f>
        <v>1400</v>
      </c>
    </row>
    <row r="115" spans="1:15" s="166" customFormat="1" hidden="1">
      <c r="A115" s="153"/>
      <c r="B115" s="157" t="s">
        <v>320</v>
      </c>
      <c r="C115" s="156">
        <v>1</v>
      </c>
      <c r="D115" s="156">
        <v>4971</v>
      </c>
      <c r="E115" s="156">
        <v>2168</v>
      </c>
      <c r="F115" s="156">
        <v>4900</v>
      </c>
      <c r="G115" s="156">
        <f>SUM(J115:L115)</f>
        <v>2732</v>
      </c>
      <c r="H115" s="156"/>
      <c r="I115" s="156"/>
      <c r="J115" s="156"/>
      <c r="K115" s="156">
        <f>F115-E115</f>
        <v>2732</v>
      </c>
      <c r="L115" s="156"/>
      <c r="M115" s="127">
        <f t="shared" si="68"/>
        <v>2732</v>
      </c>
      <c r="N115" s="127"/>
      <c r="O115" s="127">
        <f t="shared" si="69"/>
        <v>2732</v>
      </c>
    </row>
    <row r="116" spans="1:15" s="166" customFormat="1" ht="31.5" hidden="1">
      <c r="A116" s="153"/>
      <c r="B116" s="157" t="s">
        <v>319</v>
      </c>
      <c r="C116" s="156">
        <v>1</v>
      </c>
      <c r="D116" s="156">
        <v>2000</v>
      </c>
      <c r="E116" s="156">
        <v>703</v>
      </c>
      <c r="F116" s="156">
        <v>2000</v>
      </c>
      <c r="G116" s="156">
        <f>SUM(J116:L116)</f>
        <v>1297</v>
      </c>
      <c r="H116" s="156"/>
      <c r="I116" s="156"/>
      <c r="J116" s="156"/>
      <c r="K116" s="156">
        <f>F116-E116</f>
        <v>1297</v>
      </c>
      <c r="L116" s="156"/>
      <c r="M116" s="127">
        <f t="shared" si="68"/>
        <v>1297</v>
      </c>
      <c r="N116" s="127"/>
      <c r="O116" s="127">
        <f t="shared" si="69"/>
        <v>1297</v>
      </c>
    </row>
    <row r="117" spans="1:15" s="166" customFormat="1" ht="31.5" hidden="1">
      <c r="A117" s="153"/>
      <c r="B117" s="157" t="s">
        <v>318</v>
      </c>
      <c r="C117" s="156">
        <v>1</v>
      </c>
      <c r="D117" s="156">
        <v>3989</v>
      </c>
      <c r="E117" s="156">
        <v>3488</v>
      </c>
      <c r="F117" s="156">
        <v>3900</v>
      </c>
      <c r="G117" s="156">
        <f>SUM(J117:L117)</f>
        <v>412</v>
      </c>
      <c r="H117" s="156"/>
      <c r="I117" s="156"/>
      <c r="J117" s="156"/>
      <c r="K117" s="156">
        <f>F117-E117</f>
        <v>412</v>
      </c>
      <c r="L117" s="156"/>
      <c r="M117" s="127">
        <f t="shared" si="68"/>
        <v>412</v>
      </c>
      <c r="N117" s="127"/>
      <c r="O117" s="127">
        <f t="shared" si="69"/>
        <v>412</v>
      </c>
    </row>
    <row r="118" spans="1:15" s="166" customFormat="1" ht="35.25" hidden="1" customHeight="1">
      <c r="A118" s="153"/>
      <c r="B118" s="157" t="s">
        <v>317</v>
      </c>
      <c r="C118" s="156">
        <v>1</v>
      </c>
      <c r="D118" s="156">
        <v>2026</v>
      </c>
      <c r="E118" s="156">
        <v>1686</v>
      </c>
      <c r="F118" s="156">
        <v>2000</v>
      </c>
      <c r="G118" s="156">
        <f>SUM(J118:L118)</f>
        <v>314</v>
      </c>
      <c r="H118" s="156"/>
      <c r="I118" s="156"/>
      <c r="J118" s="156"/>
      <c r="K118" s="156">
        <f>F118-E118</f>
        <v>314</v>
      </c>
      <c r="L118" s="156"/>
      <c r="M118" s="127">
        <f t="shared" si="68"/>
        <v>314</v>
      </c>
      <c r="N118" s="127"/>
      <c r="O118" s="127">
        <f t="shared" si="69"/>
        <v>314</v>
      </c>
    </row>
    <row r="119" spans="1:15" s="171" customFormat="1" ht="17.25" hidden="1">
      <c r="A119" s="135" t="s">
        <v>214</v>
      </c>
      <c r="B119" s="141" t="s">
        <v>212</v>
      </c>
      <c r="C119" s="140">
        <f t="shared" ref="C119:L119" si="70">SUM(C120:C123)</f>
        <v>4</v>
      </c>
      <c r="D119" s="140">
        <f t="shared" si="70"/>
        <v>2420</v>
      </c>
      <c r="E119" s="140">
        <f t="shared" si="70"/>
        <v>0</v>
      </c>
      <c r="F119" s="140">
        <f t="shared" si="70"/>
        <v>1270</v>
      </c>
      <c r="G119" s="140">
        <f t="shared" si="70"/>
        <v>1270</v>
      </c>
      <c r="H119" s="140">
        <f t="shared" si="70"/>
        <v>0</v>
      </c>
      <c r="I119" s="140">
        <f t="shared" si="70"/>
        <v>0</v>
      </c>
      <c r="J119" s="140">
        <f t="shared" si="70"/>
        <v>0</v>
      </c>
      <c r="K119" s="140">
        <f t="shared" si="70"/>
        <v>1270</v>
      </c>
      <c r="L119" s="140">
        <f t="shared" si="70"/>
        <v>0</v>
      </c>
      <c r="M119" s="159">
        <f t="shared" si="68"/>
        <v>1270</v>
      </c>
      <c r="N119" s="126"/>
      <c r="O119" s="127">
        <f t="shared" si="69"/>
        <v>1270</v>
      </c>
    </row>
    <row r="120" spans="1:15" s="168" customFormat="1" ht="31.5" hidden="1">
      <c r="A120" s="170"/>
      <c r="B120" s="152" t="s">
        <v>316</v>
      </c>
      <c r="C120" s="156">
        <v>1</v>
      </c>
      <c r="D120" s="127">
        <v>800</v>
      </c>
      <c r="E120" s="156">
        <v>0</v>
      </c>
      <c r="F120" s="156">
        <v>600</v>
      </c>
      <c r="G120" s="156">
        <f>H120+I120+J120+K120+L120</f>
        <v>600</v>
      </c>
      <c r="H120" s="156"/>
      <c r="I120" s="156"/>
      <c r="J120" s="156">
        <v>0</v>
      </c>
      <c r="K120" s="156">
        <f>F120-E120</f>
        <v>600</v>
      </c>
      <c r="L120" s="127">
        <v>0</v>
      </c>
      <c r="M120" s="127">
        <f t="shared" si="68"/>
        <v>600</v>
      </c>
      <c r="N120" s="126"/>
      <c r="O120" s="127">
        <f t="shared" si="69"/>
        <v>600</v>
      </c>
    </row>
    <row r="121" spans="1:15" s="166" customFormat="1" ht="35.25" hidden="1" customHeight="1">
      <c r="A121" s="153"/>
      <c r="B121" s="157" t="s">
        <v>315</v>
      </c>
      <c r="C121" s="156">
        <v>1</v>
      </c>
      <c r="D121" s="156">
        <v>320</v>
      </c>
      <c r="E121" s="156">
        <v>0</v>
      </c>
      <c r="F121" s="156">
        <v>300</v>
      </c>
      <c r="G121" s="156">
        <f>H121+I121+J121+K121+L121</f>
        <v>300</v>
      </c>
      <c r="H121" s="156"/>
      <c r="I121" s="156"/>
      <c r="J121" s="156"/>
      <c r="K121" s="156">
        <f>F121-E121</f>
        <v>300</v>
      </c>
      <c r="L121" s="156"/>
      <c r="M121" s="127">
        <f t="shared" si="68"/>
        <v>300</v>
      </c>
      <c r="N121" s="126"/>
      <c r="O121" s="127">
        <f t="shared" si="69"/>
        <v>300</v>
      </c>
    </row>
    <row r="122" spans="1:15" s="166" customFormat="1" ht="50.25" hidden="1" customHeight="1">
      <c r="A122" s="153"/>
      <c r="B122" s="157" t="s">
        <v>314</v>
      </c>
      <c r="C122" s="156">
        <v>1</v>
      </c>
      <c r="D122" s="156">
        <v>500</v>
      </c>
      <c r="E122" s="156"/>
      <c r="F122" s="156">
        <v>320</v>
      </c>
      <c r="G122" s="156">
        <f>H122+I122+J122+K122+L122</f>
        <v>320</v>
      </c>
      <c r="H122" s="156"/>
      <c r="I122" s="156"/>
      <c r="J122" s="156"/>
      <c r="K122" s="156">
        <f>F122-E122</f>
        <v>320</v>
      </c>
      <c r="L122" s="156"/>
      <c r="M122" s="127">
        <f t="shared" si="68"/>
        <v>320</v>
      </c>
      <c r="N122" s="126"/>
      <c r="O122" s="127">
        <f t="shared" si="69"/>
        <v>320</v>
      </c>
    </row>
    <row r="123" spans="1:15" s="166" customFormat="1" ht="43.5" hidden="1" customHeight="1">
      <c r="A123" s="153"/>
      <c r="B123" s="157" t="s">
        <v>313</v>
      </c>
      <c r="C123" s="156">
        <v>1</v>
      </c>
      <c r="D123" s="156">
        <v>800</v>
      </c>
      <c r="E123" s="156">
        <v>0</v>
      </c>
      <c r="F123" s="156">
        <v>50</v>
      </c>
      <c r="G123" s="156">
        <f>H123+I123+J123+K123+L123</f>
        <v>50</v>
      </c>
      <c r="H123" s="156"/>
      <c r="I123" s="156"/>
      <c r="J123" s="156"/>
      <c r="K123" s="156">
        <f>F123-E123</f>
        <v>50</v>
      </c>
      <c r="L123" s="156"/>
      <c r="M123" s="127">
        <f t="shared" si="68"/>
        <v>50</v>
      </c>
      <c r="N123" s="126"/>
      <c r="O123" s="127">
        <f t="shared" si="69"/>
        <v>50</v>
      </c>
    </row>
    <row r="124" spans="1:15" s="142" customFormat="1">
      <c r="A124" s="146">
        <v>10</v>
      </c>
      <c r="B124" s="145" t="s">
        <v>40</v>
      </c>
      <c r="C124" s="143">
        <f t="shared" ref="C124:G124" si="71">+C125</f>
        <v>4</v>
      </c>
      <c r="D124" s="143">
        <f t="shared" si="71"/>
        <v>8943</v>
      </c>
      <c r="E124" s="143">
        <f t="shared" si="71"/>
        <v>6760</v>
      </c>
      <c r="F124" s="143">
        <f t="shared" si="71"/>
        <v>7930</v>
      </c>
      <c r="G124" s="143">
        <f t="shared" si="71"/>
        <v>1170</v>
      </c>
      <c r="H124" s="144">
        <f t="shared" ref="H124:O124" si="72">H125+H130+H135</f>
        <v>0</v>
      </c>
      <c r="I124" s="144">
        <f t="shared" si="72"/>
        <v>0</v>
      </c>
      <c r="J124" s="143">
        <f t="shared" ref="J124:L124" si="73">+J125</f>
        <v>0</v>
      </c>
      <c r="K124" s="143">
        <f t="shared" si="73"/>
        <v>1170</v>
      </c>
      <c r="L124" s="143">
        <f t="shared" si="73"/>
        <v>0</v>
      </c>
      <c r="M124" s="143">
        <f t="shared" si="72"/>
        <v>16881.443899999998</v>
      </c>
      <c r="N124" s="143">
        <f>+N125</f>
        <v>1170</v>
      </c>
      <c r="O124" s="143">
        <f t="shared" si="72"/>
        <v>15711.4439</v>
      </c>
    </row>
    <row r="125" spans="1:15">
      <c r="A125" s="158" t="s">
        <v>414</v>
      </c>
      <c r="B125" s="157" t="s">
        <v>312</v>
      </c>
      <c r="C125" s="156">
        <f t="shared" ref="C125:O125" si="74">SUM(C126:C129)</f>
        <v>4</v>
      </c>
      <c r="D125" s="156">
        <f t="shared" si="74"/>
        <v>8943</v>
      </c>
      <c r="E125" s="156">
        <f t="shared" si="74"/>
        <v>6760</v>
      </c>
      <c r="F125" s="156">
        <f t="shared" si="74"/>
        <v>7930</v>
      </c>
      <c r="G125" s="156">
        <f t="shared" si="74"/>
        <v>1170</v>
      </c>
      <c r="H125" s="140">
        <f t="shared" si="74"/>
        <v>0</v>
      </c>
      <c r="I125" s="140">
        <f t="shared" si="74"/>
        <v>0</v>
      </c>
      <c r="J125" s="156">
        <f t="shared" si="74"/>
        <v>0</v>
      </c>
      <c r="K125" s="156">
        <f t="shared" si="74"/>
        <v>1170</v>
      </c>
      <c r="L125" s="156">
        <f t="shared" si="74"/>
        <v>0</v>
      </c>
      <c r="M125" s="156">
        <f t="shared" si="74"/>
        <v>1170</v>
      </c>
      <c r="N125" s="156">
        <f t="shared" si="74"/>
        <v>1170</v>
      </c>
      <c r="O125" s="156">
        <f t="shared" si="74"/>
        <v>0</v>
      </c>
    </row>
    <row r="126" spans="1:15" s="166" customFormat="1" ht="31.5" hidden="1">
      <c r="A126" s="153"/>
      <c r="B126" s="200" t="s">
        <v>311</v>
      </c>
      <c r="C126" s="156">
        <v>1</v>
      </c>
      <c r="D126" s="127">
        <v>5669</v>
      </c>
      <c r="E126" s="156">
        <v>5000</v>
      </c>
      <c r="F126" s="156">
        <v>5415</v>
      </c>
      <c r="G126" s="143">
        <f>H126+I126+J126+K126+L126</f>
        <v>415</v>
      </c>
      <c r="H126" s="156"/>
      <c r="I126" s="156"/>
      <c r="J126" s="156"/>
      <c r="K126" s="156">
        <f>F126-E126</f>
        <v>415</v>
      </c>
      <c r="L126" s="127"/>
      <c r="M126" s="127">
        <f>G126</f>
        <v>415</v>
      </c>
      <c r="N126" s="126">
        <f>G126</f>
        <v>415</v>
      </c>
      <c r="O126" s="126"/>
    </row>
    <row r="127" spans="1:15" s="166" customFormat="1" hidden="1">
      <c r="A127" s="153"/>
      <c r="B127" s="152" t="s">
        <v>310</v>
      </c>
      <c r="C127" s="156">
        <v>1</v>
      </c>
      <c r="D127" s="127">
        <v>2300</v>
      </c>
      <c r="E127" s="156">
        <v>1575</v>
      </c>
      <c r="F127" s="156">
        <v>1700</v>
      </c>
      <c r="G127" s="143">
        <f>H127+I127+J127+K127+L127</f>
        <v>125</v>
      </c>
      <c r="H127" s="156"/>
      <c r="I127" s="156"/>
      <c r="J127" s="156"/>
      <c r="K127" s="156">
        <f>F127-E127</f>
        <v>125</v>
      </c>
      <c r="L127" s="127"/>
      <c r="M127" s="127">
        <f>G127</f>
        <v>125</v>
      </c>
      <c r="N127" s="126">
        <f>G127</f>
        <v>125</v>
      </c>
      <c r="O127" s="126"/>
    </row>
    <row r="128" spans="1:15" s="166" customFormat="1" ht="31.5" hidden="1">
      <c r="A128" s="153"/>
      <c r="B128" s="200" t="s">
        <v>309</v>
      </c>
      <c r="C128" s="156">
        <v>1</v>
      </c>
      <c r="D128" s="127">
        <v>623</v>
      </c>
      <c r="E128" s="156">
        <v>185</v>
      </c>
      <c r="F128" s="156">
        <v>524</v>
      </c>
      <c r="G128" s="143">
        <f>H128+I128+J128+K128+L128</f>
        <v>339</v>
      </c>
      <c r="H128" s="156"/>
      <c r="I128" s="156"/>
      <c r="J128" s="156"/>
      <c r="K128" s="156">
        <f>F128-E128</f>
        <v>339</v>
      </c>
      <c r="L128" s="127"/>
      <c r="M128" s="127">
        <f>G128</f>
        <v>339</v>
      </c>
      <c r="N128" s="126">
        <f>G128</f>
        <v>339</v>
      </c>
      <c r="O128" s="126"/>
    </row>
    <row r="129" spans="1:15" s="166" customFormat="1" hidden="1">
      <c r="A129" s="153"/>
      <c r="B129" s="200" t="s">
        <v>308</v>
      </c>
      <c r="C129" s="156">
        <v>1</v>
      </c>
      <c r="D129" s="127">
        <v>351</v>
      </c>
      <c r="E129" s="156"/>
      <c r="F129" s="156">
        <v>291</v>
      </c>
      <c r="G129" s="143">
        <f>H129+I129+J129+K129+L129</f>
        <v>291</v>
      </c>
      <c r="H129" s="156"/>
      <c r="I129" s="156"/>
      <c r="J129" s="156"/>
      <c r="K129" s="156">
        <f>F129-E129</f>
        <v>291</v>
      </c>
      <c r="L129" s="127"/>
      <c r="M129" s="127">
        <f>G129</f>
        <v>291</v>
      </c>
      <c r="N129" s="126">
        <f>G129</f>
        <v>291</v>
      </c>
      <c r="O129" s="126"/>
    </row>
    <row r="130" spans="1:15" hidden="1">
      <c r="A130" s="158" t="s">
        <v>214</v>
      </c>
      <c r="B130" s="200" t="s">
        <v>307</v>
      </c>
      <c r="C130" s="156">
        <f t="shared" ref="C130:O130" si="75">SUM(C131:C134)</f>
        <v>4</v>
      </c>
      <c r="D130" s="156">
        <f t="shared" si="75"/>
        <v>36561.955000000002</v>
      </c>
      <c r="E130" s="156">
        <f t="shared" si="75"/>
        <v>19000</v>
      </c>
      <c r="F130" s="156">
        <f t="shared" si="75"/>
        <v>34511.443899999998</v>
      </c>
      <c r="G130" s="156">
        <f t="shared" si="75"/>
        <v>15511.4439</v>
      </c>
      <c r="H130" s="140">
        <f t="shared" si="75"/>
        <v>0</v>
      </c>
      <c r="I130" s="140">
        <f t="shared" si="75"/>
        <v>0</v>
      </c>
      <c r="J130" s="156">
        <f t="shared" si="75"/>
        <v>0</v>
      </c>
      <c r="K130" s="156">
        <f t="shared" si="75"/>
        <v>15511.4439</v>
      </c>
      <c r="L130" s="156">
        <f t="shared" si="75"/>
        <v>0</v>
      </c>
      <c r="M130" s="156">
        <f t="shared" si="75"/>
        <v>15511.4439</v>
      </c>
      <c r="N130" s="156">
        <f t="shared" si="75"/>
        <v>0</v>
      </c>
      <c r="O130" s="156">
        <f t="shared" si="75"/>
        <v>15511.4439</v>
      </c>
    </row>
    <row r="131" spans="1:15" s="166" customFormat="1" hidden="1">
      <c r="A131" s="153"/>
      <c r="B131" s="157" t="s">
        <v>306</v>
      </c>
      <c r="C131" s="156">
        <v>1</v>
      </c>
      <c r="D131" s="156">
        <v>1100</v>
      </c>
      <c r="E131" s="156">
        <v>0</v>
      </c>
      <c r="F131" s="156">
        <v>1045</v>
      </c>
      <c r="G131" s="143">
        <f>H131+I131+J131+K131+L131</f>
        <v>1045</v>
      </c>
      <c r="H131" s="156"/>
      <c r="I131" s="156"/>
      <c r="J131" s="156"/>
      <c r="K131" s="162">
        <f>F131-E131</f>
        <v>1045</v>
      </c>
      <c r="L131" s="156"/>
      <c r="M131" s="127">
        <f>G131</f>
        <v>1045</v>
      </c>
      <c r="N131" s="126"/>
      <c r="O131" s="126">
        <f>M131</f>
        <v>1045</v>
      </c>
    </row>
    <row r="132" spans="1:15" s="166" customFormat="1" hidden="1">
      <c r="A132" s="153"/>
      <c r="B132" s="157" t="s">
        <v>305</v>
      </c>
      <c r="C132" s="156">
        <v>1</v>
      </c>
      <c r="D132" s="156">
        <v>6100</v>
      </c>
      <c r="E132" s="156">
        <v>5500</v>
      </c>
      <c r="F132" s="156">
        <v>6100</v>
      </c>
      <c r="G132" s="143">
        <f>H132+I132+J132+K132+L132</f>
        <v>600</v>
      </c>
      <c r="H132" s="156"/>
      <c r="I132" s="156"/>
      <c r="J132" s="156"/>
      <c r="K132" s="162">
        <f>F132-E132</f>
        <v>600</v>
      </c>
      <c r="L132" s="156"/>
      <c r="M132" s="127">
        <f>G132</f>
        <v>600</v>
      </c>
      <c r="N132" s="126"/>
      <c r="O132" s="126">
        <f>M132</f>
        <v>600</v>
      </c>
    </row>
    <row r="133" spans="1:15" s="199" customFormat="1" ht="47.25" hidden="1">
      <c r="A133" s="170"/>
      <c r="B133" s="157" t="s">
        <v>304</v>
      </c>
      <c r="C133" s="156">
        <v>1</v>
      </c>
      <c r="D133" s="156">
        <v>14938.271000000001</v>
      </c>
      <c r="E133" s="156">
        <v>8000</v>
      </c>
      <c r="F133" s="156">
        <f>D133*0.9</f>
        <v>13444.4439</v>
      </c>
      <c r="G133" s="156">
        <f>H133+I133+J133+K133+L133</f>
        <v>5444.4439000000002</v>
      </c>
      <c r="H133" s="156"/>
      <c r="I133" s="156"/>
      <c r="J133" s="156"/>
      <c r="K133" s="156">
        <f>F133-E133</f>
        <v>5444.4439000000002</v>
      </c>
      <c r="L133" s="156"/>
      <c r="M133" s="127">
        <f>G133</f>
        <v>5444.4439000000002</v>
      </c>
      <c r="N133" s="126"/>
      <c r="O133" s="126">
        <f>M133</f>
        <v>5444.4439000000002</v>
      </c>
    </row>
    <row r="134" spans="1:15" s="199" customFormat="1" ht="31.5" hidden="1">
      <c r="A134" s="170"/>
      <c r="B134" s="157" t="s">
        <v>303</v>
      </c>
      <c r="C134" s="156">
        <v>1</v>
      </c>
      <c r="D134" s="156">
        <v>14423.683999999999</v>
      </c>
      <c r="E134" s="156">
        <v>5500</v>
      </c>
      <c r="F134" s="156">
        <v>13922</v>
      </c>
      <c r="G134" s="156">
        <f>H134+I134+J134+K134+L134</f>
        <v>8422</v>
      </c>
      <c r="H134" s="156"/>
      <c r="I134" s="156"/>
      <c r="J134" s="156"/>
      <c r="K134" s="156">
        <f>F134-E134</f>
        <v>8422</v>
      </c>
      <c r="L134" s="156"/>
      <c r="M134" s="127">
        <f>G134</f>
        <v>8422</v>
      </c>
      <c r="N134" s="126"/>
      <c r="O134" s="126">
        <f>M134</f>
        <v>8422</v>
      </c>
    </row>
    <row r="135" spans="1:15" s="171" customFormat="1" ht="17.25" hidden="1">
      <c r="A135" s="135" t="s">
        <v>214</v>
      </c>
      <c r="B135" s="141" t="s">
        <v>212</v>
      </c>
      <c r="C135" s="140">
        <f t="shared" ref="C135:O135" si="76">SUM(C136)</f>
        <v>1</v>
      </c>
      <c r="D135" s="140">
        <f t="shared" si="76"/>
        <v>450</v>
      </c>
      <c r="E135" s="140">
        <f t="shared" si="76"/>
        <v>200</v>
      </c>
      <c r="F135" s="140">
        <f t="shared" si="76"/>
        <v>400</v>
      </c>
      <c r="G135" s="140">
        <f t="shared" si="76"/>
        <v>200</v>
      </c>
      <c r="H135" s="140">
        <f t="shared" si="76"/>
        <v>0</v>
      </c>
      <c r="I135" s="140">
        <f t="shared" si="76"/>
        <v>0</v>
      </c>
      <c r="J135" s="140">
        <f t="shared" si="76"/>
        <v>0</v>
      </c>
      <c r="K135" s="140">
        <f t="shared" si="76"/>
        <v>200</v>
      </c>
      <c r="L135" s="140">
        <f t="shared" si="76"/>
        <v>0</v>
      </c>
      <c r="M135" s="140">
        <f t="shared" si="76"/>
        <v>200</v>
      </c>
      <c r="N135" s="140">
        <f t="shared" si="76"/>
        <v>0</v>
      </c>
      <c r="O135" s="140">
        <f t="shared" si="76"/>
        <v>200</v>
      </c>
    </row>
    <row r="136" spans="1:15" s="199" customFormat="1" hidden="1">
      <c r="A136" s="170"/>
      <c r="B136" s="157" t="s">
        <v>302</v>
      </c>
      <c r="C136" s="156">
        <v>1</v>
      </c>
      <c r="D136" s="156">
        <v>450</v>
      </c>
      <c r="E136" s="156">
        <v>200</v>
      </c>
      <c r="F136" s="156">
        <v>400</v>
      </c>
      <c r="G136" s="156">
        <f>H136+I136+J136+K136+L136</f>
        <v>200</v>
      </c>
      <c r="H136" s="156"/>
      <c r="I136" s="156"/>
      <c r="J136" s="156"/>
      <c r="K136" s="156">
        <f>F136-E136</f>
        <v>200</v>
      </c>
      <c r="L136" s="156"/>
      <c r="M136" s="127">
        <f>G136</f>
        <v>200</v>
      </c>
      <c r="N136" s="126"/>
      <c r="O136" s="126">
        <f>M136</f>
        <v>200</v>
      </c>
    </row>
    <row r="137" spans="1:15" s="132" customFormat="1" ht="17.25">
      <c r="A137" s="146">
        <v>11</v>
      </c>
      <c r="B137" s="145" t="s">
        <v>39</v>
      </c>
      <c r="C137" s="143">
        <f t="shared" ref="C137:G137" si="77">+C138</f>
        <v>8</v>
      </c>
      <c r="D137" s="143">
        <f t="shared" si="77"/>
        <v>25178</v>
      </c>
      <c r="E137" s="143">
        <f t="shared" si="77"/>
        <v>20969</v>
      </c>
      <c r="F137" s="143">
        <f t="shared" si="77"/>
        <v>24025</v>
      </c>
      <c r="G137" s="143">
        <f t="shared" si="77"/>
        <v>3056</v>
      </c>
      <c r="H137" s="144">
        <f t="shared" ref="H137:O137" si="78">H138+H147+H149</f>
        <v>0</v>
      </c>
      <c r="I137" s="144">
        <f t="shared" si="78"/>
        <v>0</v>
      </c>
      <c r="J137" s="143">
        <f t="shared" ref="J137:L137" si="79">+J138</f>
        <v>0</v>
      </c>
      <c r="K137" s="143">
        <f t="shared" si="79"/>
        <v>3056</v>
      </c>
      <c r="L137" s="143">
        <f t="shared" si="79"/>
        <v>0</v>
      </c>
      <c r="M137" s="143">
        <f t="shared" si="78"/>
        <v>18939</v>
      </c>
      <c r="N137" s="143">
        <f>+N138</f>
        <v>3056</v>
      </c>
      <c r="O137" s="143">
        <f t="shared" si="78"/>
        <v>15883</v>
      </c>
    </row>
    <row r="138" spans="1:15">
      <c r="A138" s="158" t="s">
        <v>414</v>
      </c>
      <c r="B138" s="152" t="s">
        <v>215</v>
      </c>
      <c r="C138" s="156">
        <f t="shared" ref="C138:L138" si="80">SUM(C139:C146)</f>
        <v>8</v>
      </c>
      <c r="D138" s="156">
        <f t="shared" si="80"/>
        <v>25178</v>
      </c>
      <c r="E138" s="156">
        <f t="shared" si="80"/>
        <v>20969</v>
      </c>
      <c r="F138" s="156">
        <f t="shared" si="80"/>
        <v>24025</v>
      </c>
      <c r="G138" s="156">
        <f t="shared" si="80"/>
        <v>3056</v>
      </c>
      <c r="H138" s="140">
        <f t="shared" si="80"/>
        <v>0</v>
      </c>
      <c r="I138" s="140">
        <f t="shared" si="80"/>
        <v>0</v>
      </c>
      <c r="J138" s="156">
        <f t="shared" si="80"/>
        <v>0</v>
      </c>
      <c r="K138" s="156">
        <f t="shared" si="80"/>
        <v>3056</v>
      </c>
      <c r="L138" s="156">
        <f t="shared" si="80"/>
        <v>0</v>
      </c>
      <c r="M138" s="127">
        <f t="shared" ref="M138:M147" si="81">G138</f>
        <v>3056</v>
      </c>
      <c r="N138" s="127">
        <f t="shared" ref="N138:N146" si="82">M138</f>
        <v>3056</v>
      </c>
      <c r="O138" s="127"/>
    </row>
    <row r="139" spans="1:15" s="175" customFormat="1" ht="41.25" hidden="1" customHeight="1">
      <c r="A139" s="151"/>
      <c r="B139" s="150" t="s">
        <v>301</v>
      </c>
      <c r="C139" s="178">
        <v>1</v>
      </c>
      <c r="D139" s="177">
        <v>11897</v>
      </c>
      <c r="E139" s="178">
        <v>10899</v>
      </c>
      <c r="F139" s="178">
        <v>11105</v>
      </c>
      <c r="G139" s="197">
        <f t="shared" ref="G139:G146" si="83">SUM(J139:L139)</f>
        <v>206</v>
      </c>
      <c r="H139" s="178"/>
      <c r="I139" s="178"/>
      <c r="J139" s="178"/>
      <c r="K139" s="178">
        <f t="shared" ref="K139:K146" si="84">F139-E139</f>
        <v>206</v>
      </c>
      <c r="L139" s="177"/>
      <c r="M139" s="176">
        <f t="shared" si="81"/>
        <v>206</v>
      </c>
      <c r="N139" s="198">
        <f t="shared" si="82"/>
        <v>206</v>
      </c>
      <c r="O139" s="198"/>
    </row>
    <row r="140" spans="1:15" s="175" customFormat="1" ht="23.25" hidden="1" customHeight="1">
      <c r="A140" s="151"/>
      <c r="B140" s="150" t="s">
        <v>300</v>
      </c>
      <c r="C140" s="178">
        <v>1</v>
      </c>
      <c r="D140" s="177">
        <v>1128</v>
      </c>
      <c r="E140" s="178">
        <v>1017</v>
      </c>
      <c r="F140" s="178">
        <v>1053</v>
      </c>
      <c r="G140" s="197">
        <f t="shared" si="83"/>
        <v>36</v>
      </c>
      <c r="H140" s="178"/>
      <c r="I140" s="178"/>
      <c r="J140" s="178"/>
      <c r="K140" s="178">
        <f t="shared" si="84"/>
        <v>36</v>
      </c>
      <c r="L140" s="177">
        <v>0</v>
      </c>
      <c r="M140" s="176">
        <f t="shared" si="81"/>
        <v>36</v>
      </c>
      <c r="N140" s="198">
        <f t="shared" si="82"/>
        <v>36</v>
      </c>
      <c r="O140" s="198"/>
    </row>
    <row r="141" spans="1:15" s="168" customFormat="1" ht="30.75" hidden="1" customHeight="1">
      <c r="A141" s="153"/>
      <c r="B141" s="152" t="s">
        <v>299</v>
      </c>
      <c r="C141" s="162">
        <v>1</v>
      </c>
      <c r="D141" s="163">
        <v>3933</v>
      </c>
      <c r="E141" s="162">
        <v>2586</v>
      </c>
      <c r="F141" s="162">
        <v>3842</v>
      </c>
      <c r="G141" s="197">
        <f t="shared" si="83"/>
        <v>1256</v>
      </c>
      <c r="H141" s="162"/>
      <c r="I141" s="162"/>
      <c r="J141" s="162"/>
      <c r="K141" s="178">
        <f t="shared" si="84"/>
        <v>1256</v>
      </c>
      <c r="L141" s="163"/>
      <c r="M141" s="127">
        <f t="shared" si="81"/>
        <v>1256</v>
      </c>
      <c r="N141" s="126">
        <f t="shared" si="82"/>
        <v>1256</v>
      </c>
      <c r="O141" s="126"/>
    </row>
    <row r="142" spans="1:15" s="168" customFormat="1" hidden="1">
      <c r="A142" s="153"/>
      <c r="B142" s="152" t="s">
        <v>298</v>
      </c>
      <c r="C142" s="162">
        <v>1</v>
      </c>
      <c r="D142" s="163">
        <v>526</v>
      </c>
      <c r="E142" s="162">
        <v>422</v>
      </c>
      <c r="F142" s="162">
        <v>500</v>
      </c>
      <c r="G142" s="197">
        <f t="shared" si="83"/>
        <v>78</v>
      </c>
      <c r="H142" s="162"/>
      <c r="I142" s="162"/>
      <c r="J142" s="162"/>
      <c r="K142" s="178">
        <f t="shared" si="84"/>
        <v>78</v>
      </c>
      <c r="L142" s="163"/>
      <c r="M142" s="127">
        <f t="shared" si="81"/>
        <v>78</v>
      </c>
      <c r="N142" s="126">
        <f t="shared" si="82"/>
        <v>78</v>
      </c>
      <c r="O142" s="126"/>
    </row>
    <row r="143" spans="1:15" s="168" customFormat="1" hidden="1">
      <c r="A143" s="153"/>
      <c r="B143" s="152" t="s">
        <v>297</v>
      </c>
      <c r="C143" s="162">
        <v>1</v>
      </c>
      <c r="D143" s="163">
        <v>430</v>
      </c>
      <c r="E143" s="162">
        <v>300</v>
      </c>
      <c r="F143" s="162">
        <v>400</v>
      </c>
      <c r="G143" s="197">
        <f t="shared" si="83"/>
        <v>100</v>
      </c>
      <c r="H143" s="162"/>
      <c r="I143" s="162"/>
      <c r="J143" s="162"/>
      <c r="K143" s="178">
        <f t="shared" si="84"/>
        <v>100</v>
      </c>
      <c r="L143" s="163"/>
      <c r="M143" s="127">
        <f t="shared" si="81"/>
        <v>100</v>
      </c>
      <c r="N143" s="126">
        <f t="shared" si="82"/>
        <v>100</v>
      </c>
      <c r="O143" s="126"/>
    </row>
    <row r="144" spans="1:15" s="168" customFormat="1" hidden="1">
      <c r="A144" s="153"/>
      <c r="B144" s="152" t="s">
        <v>296</v>
      </c>
      <c r="C144" s="162">
        <v>1</v>
      </c>
      <c r="D144" s="163">
        <v>2819</v>
      </c>
      <c r="E144" s="162">
        <v>1834</v>
      </c>
      <c r="F144" s="162">
        <v>2773</v>
      </c>
      <c r="G144" s="197">
        <f t="shared" si="83"/>
        <v>939</v>
      </c>
      <c r="H144" s="162"/>
      <c r="I144" s="162"/>
      <c r="J144" s="162"/>
      <c r="K144" s="178">
        <f t="shared" si="84"/>
        <v>939</v>
      </c>
      <c r="L144" s="163"/>
      <c r="M144" s="127">
        <f t="shared" si="81"/>
        <v>939</v>
      </c>
      <c r="N144" s="126">
        <f t="shared" si="82"/>
        <v>939</v>
      </c>
      <c r="O144" s="126"/>
    </row>
    <row r="145" spans="1:15" s="168" customFormat="1" hidden="1">
      <c r="A145" s="153"/>
      <c r="B145" s="152" t="s">
        <v>295</v>
      </c>
      <c r="C145" s="162">
        <v>1</v>
      </c>
      <c r="D145" s="163">
        <v>1022</v>
      </c>
      <c r="E145" s="162">
        <v>911</v>
      </c>
      <c r="F145" s="162">
        <v>973</v>
      </c>
      <c r="G145" s="197">
        <f t="shared" si="83"/>
        <v>62</v>
      </c>
      <c r="H145" s="162"/>
      <c r="I145" s="162"/>
      <c r="J145" s="162"/>
      <c r="K145" s="178">
        <f t="shared" si="84"/>
        <v>62</v>
      </c>
      <c r="L145" s="163"/>
      <c r="M145" s="127">
        <f t="shared" si="81"/>
        <v>62</v>
      </c>
      <c r="N145" s="126">
        <f t="shared" si="82"/>
        <v>62</v>
      </c>
      <c r="O145" s="126"/>
    </row>
    <row r="146" spans="1:15" s="168" customFormat="1" hidden="1">
      <c r="A146" s="153"/>
      <c r="B146" s="152" t="s">
        <v>294</v>
      </c>
      <c r="C146" s="162">
        <v>1</v>
      </c>
      <c r="D146" s="163">
        <v>3423</v>
      </c>
      <c r="E146" s="162">
        <v>3000</v>
      </c>
      <c r="F146" s="162">
        <v>3379</v>
      </c>
      <c r="G146" s="197">
        <f t="shared" si="83"/>
        <v>379</v>
      </c>
      <c r="H146" s="162"/>
      <c r="I146" s="162"/>
      <c r="J146" s="162"/>
      <c r="K146" s="178">
        <f t="shared" si="84"/>
        <v>379</v>
      </c>
      <c r="L146" s="163"/>
      <c r="M146" s="127">
        <f t="shared" si="81"/>
        <v>379</v>
      </c>
      <c r="N146" s="126">
        <f t="shared" si="82"/>
        <v>379</v>
      </c>
      <c r="O146" s="126"/>
    </row>
    <row r="147" spans="1:15" ht="31.5" hidden="1">
      <c r="A147" s="158" t="s">
        <v>214</v>
      </c>
      <c r="B147" s="157" t="s">
        <v>213</v>
      </c>
      <c r="C147" s="156">
        <f t="shared" ref="C147:L147" si="85">SUM(C148:C148)</f>
        <v>1</v>
      </c>
      <c r="D147" s="156">
        <f t="shared" si="85"/>
        <v>14950</v>
      </c>
      <c r="E147" s="156">
        <f t="shared" si="85"/>
        <v>7900</v>
      </c>
      <c r="F147" s="156">
        <f t="shared" si="85"/>
        <v>14925</v>
      </c>
      <c r="G147" s="156">
        <f t="shared" si="85"/>
        <v>7025</v>
      </c>
      <c r="H147" s="140">
        <f t="shared" si="85"/>
        <v>0</v>
      </c>
      <c r="I147" s="140">
        <f t="shared" si="85"/>
        <v>0</v>
      </c>
      <c r="J147" s="156">
        <f t="shared" si="85"/>
        <v>0</v>
      </c>
      <c r="K147" s="156">
        <f t="shared" si="85"/>
        <v>7025</v>
      </c>
      <c r="L147" s="156">
        <f t="shared" si="85"/>
        <v>0</v>
      </c>
      <c r="M147" s="127">
        <f t="shared" si="81"/>
        <v>7025</v>
      </c>
      <c r="N147" s="127"/>
      <c r="O147" s="127">
        <f>M147</f>
        <v>7025</v>
      </c>
    </row>
    <row r="148" spans="1:15" ht="31.5" hidden="1">
      <c r="A148" s="153"/>
      <c r="B148" s="152" t="s">
        <v>293</v>
      </c>
      <c r="C148" s="156">
        <v>1</v>
      </c>
      <c r="D148" s="127">
        <v>14950</v>
      </c>
      <c r="E148" s="156">
        <v>7900</v>
      </c>
      <c r="F148" s="156">
        <v>14925</v>
      </c>
      <c r="G148" s="143">
        <f>H148+I148+J148+K148+L148</f>
        <v>7025</v>
      </c>
      <c r="H148" s="156"/>
      <c r="I148" s="156"/>
      <c r="J148" s="156"/>
      <c r="K148" s="162">
        <f>F148-E148</f>
        <v>7025</v>
      </c>
      <c r="L148" s="127"/>
      <c r="M148" s="127">
        <v>7790</v>
      </c>
      <c r="N148" s="126"/>
      <c r="O148" s="126">
        <f>M148</f>
        <v>7790</v>
      </c>
    </row>
    <row r="149" spans="1:15" s="132" customFormat="1" ht="17.25" hidden="1">
      <c r="A149" s="135" t="s">
        <v>214</v>
      </c>
      <c r="B149" s="134" t="s">
        <v>212</v>
      </c>
      <c r="C149" s="140">
        <f t="shared" ref="C149:M149" si="86">SUM(C150:C151)</f>
        <v>2</v>
      </c>
      <c r="D149" s="140">
        <f t="shared" si="86"/>
        <v>12375</v>
      </c>
      <c r="E149" s="140">
        <f t="shared" si="86"/>
        <v>950</v>
      </c>
      <c r="F149" s="140">
        <f t="shared" si="86"/>
        <v>9808</v>
      </c>
      <c r="G149" s="140">
        <f t="shared" si="86"/>
        <v>8858</v>
      </c>
      <c r="H149" s="140">
        <f t="shared" si="86"/>
        <v>0</v>
      </c>
      <c r="I149" s="140">
        <f t="shared" si="86"/>
        <v>0</v>
      </c>
      <c r="J149" s="140">
        <f t="shared" si="86"/>
        <v>0</v>
      </c>
      <c r="K149" s="140">
        <f t="shared" si="86"/>
        <v>8858</v>
      </c>
      <c r="L149" s="140">
        <f t="shared" si="86"/>
        <v>0</v>
      </c>
      <c r="M149" s="140">
        <f t="shared" si="86"/>
        <v>8858</v>
      </c>
      <c r="N149" s="126"/>
      <c r="O149" s="126">
        <f>M149</f>
        <v>8858</v>
      </c>
    </row>
    <row r="150" spans="1:15" s="168" customFormat="1" ht="31.5" hidden="1">
      <c r="A150" s="153"/>
      <c r="B150" s="152" t="s">
        <v>292</v>
      </c>
      <c r="C150" s="162">
        <v>1</v>
      </c>
      <c r="D150" s="163">
        <v>1375</v>
      </c>
      <c r="E150" s="162">
        <v>650</v>
      </c>
      <c r="F150" s="162">
        <v>808</v>
      </c>
      <c r="G150" s="143">
        <f>H150+I150+J150+K150+L150</f>
        <v>158</v>
      </c>
      <c r="H150" s="162"/>
      <c r="I150" s="162"/>
      <c r="J150" s="162"/>
      <c r="K150" s="162">
        <f>F150-E150</f>
        <v>158</v>
      </c>
      <c r="L150" s="163"/>
      <c r="M150" s="127">
        <f>G150</f>
        <v>158</v>
      </c>
      <c r="N150" s="126"/>
      <c r="O150" s="126">
        <f>M150</f>
        <v>158</v>
      </c>
    </row>
    <row r="151" spans="1:15" hidden="1">
      <c r="A151" s="153"/>
      <c r="B151" s="152" t="s">
        <v>291</v>
      </c>
      <c r="C151" s="156">
        <v>1</v>
      </c>
      <c r="D151" s="127">
        <v>11000</v>
      </c>
      <c r="E151" s="156">
        <v>300</v>
      </c>
      <c r="F151" s="156">
        <v>9000</v>
      </c>
      <c r="G151" s="143">
        <f>H151+I151+J151+K151+L151</f>
        <v>8700</v>
      </c>
      <c r="H151" s="156"/>
      <c r="I151" s="156"/>
      <c r="J151" s="156"/>
      <c r="K151" s="162">
        <f>F151-E151</f>
        <v>8700</v>
      </c>
      <c r="L151" s="127"/>
      <c r="M151" s="127">
        <f>G151</f>
        <v>8700</v>
      </c>
      <c r="N151" s="126"/>
      <c r="O151" s="126">
        <f>M151</f>
        <v>8700</v>
      </c>
    </row>
    <row r="152" spans="1:15" s="142" customFormat="1" ht="22.5" customHeight="1">
      <c r="A152" s="146">
        <v>12</v>
      </c>
      <c r="B152" s="145" t="s">
        <v>38</v>
      </c>
      <c r="C152" s="143">
        <f t="shared" ref="C152:G152" si="87">+C153</f>
        <v>5</v>
      </c>
      <c r="D152" s="143">
        <f t="shared" si="87"/>
        <v>23193</v>
      </c>
      <c r="E152" s="143">
        <f t="shared" si="87"/>
        <v>21653.599999999999</v>
      </c>
      <c r="F152" s="143">
        <f t="shared" si="87"/>
        <v>23063.599999999999</v>
      </c>
      <c r="G152" s="143">
        <f t="shared" si="87"/>
        <v>1539.4</v>
      </c>
      <c r="H152" s="144">
        <f t="shared" ref="H152:O152" si="88">H153+H159+H174</f>
        <v>0</v>
      </c>
      <c r="I152" s="144">
        <f t="shared" si="88"/>
        <v>0</v>
      </c>
      <c r="J152" s="143">
        <f t="shared" ref="J152:L152" si="89">+J153</f>
        <v>0</v>
      </c>
      <c r="K152" s="143">
        <f t="shared" si="89"/>
        <v>1539.4</v>
      </c>
      <c r="L152" s="143">
        <f t="shared" si="89"/>
        <v>0</v>
      </c>
      <c r="M152" s="143">
        <f t="shared" si="88"/>
        <v>11689.4</v>
      </c>
      <c r="N152" s="143">
        <f>+N153</f>
        <v>1539.4</v>
      </c>
      <c r="O152" s="143">
        <f t="shared" si="88"/>
        <v>10150</v>
      </c>
    </row>
    <row r="153" spans="1:15">
      <c r="A153" s="158" t="s">
        <v>414</v>
      </c>
      <c r="B153" s="196" t="s">
        <v>215</v>
      </c>
      <c r="C153" s="156">
        <f t="shared" ref="C153:O153" si="90">SUM(C154:C158)</f>
        <v>5</v>
      </c>
      <c r="D153" s="156">
        <f t="shared" si="90"/>
        <v>23193</v>
      </c>
      <c r="E153" s="156">
        <f t="shared" si="90"/>
        <v>21653.599999999999</v>
      </c>
      <c r="F153" s="156">
        <f t="shared" si="90"/>
        <v>23063.599999999999</v>
      </c>
      <c r="G153" s="156">
        <f t="shared" si="90"/>
        <v>1539.4</v>
      </c>
      <c r="H153" s="140">
        <f t="shared" si="90"/>
        <v>0</v>
      </c>
      <c r="I153" s="140">
        <f t="shared" si="90"/>
        <v>0</v>
      </c>
      <c r="J153" s="156">
        <f t="shared" si="90"/>
        <v>0</v>
      </c>
      <c r="K153" s="156">
        <f t="shared" si="90"/>
        <v>1539.4</v>
      </c>
      <c r="L153" s="156">
        <f t="shared" si="90"/>
        <v>0</v>
      </c>
      <c r="M153" s="156">
        <f t="shared" si="90"/>
        <v>1539.4</v>
      </c>
      <c r="N153" s="156">
        <f t="shared" si="90"/>
        <v>1539.4</v>
      </c>
      <c r="O153" s="156">
        <f t="shared" si="90"/>
        <v>0</v>
      </c>
    </row>
    <row r="154" spans="1:15" s="142" customFormat="1" ht="36.950000000000003" hidden="1" customHeight="1">
      <c r="A154" s="152"/>
      <c r="B154" s="152" t="s">
        <v>290</v>
      </c>
      <c r="C154" s="137">
        <v>1</v>
      </c>
      <c r="D154" s="137">
        <v>1917</v>
      </c>
      <c r="E154" s="137">
        <v>1319</v>
      </c>
      <c r="F154" s="137">
        <v>1917</v>
      </c>
      <c r="G154" s="137">
        <f>K154</f>
        <v>598</v>
      </c>
      <c r="H154" s="194"/>
      <c r="I154" s="194"/>
      <c r="J154" s="194"/>
      <c r="K154" s="137">
        <f>D154-E154</f>
        <v>598</v>
      </c>
      <c r="L154" s="194"/>
      <c r="M154" s="127">
        <f t="shared" ref="M154:M174" si="91">G154</f>
        <v>598</v>
      </c>
      <c r="N154" s="126">
        <f>G154</f>
        <v>598</v>
      </c>
      <c r="O154" s="126"/>
    </row>
    <row r="155" spans="1:15" s="142" customFormat="1" ht="36.950000000000003" hidden="1" customHeight="1">
      <c r="A155" s="152"/>
      <c r="B155" s="152" t="s">
        <v>289</v>
      </c>
      <c r="C155" s="137">
        <v>1</v>
      </c>
      <c r="D155" s="137">
        <v>2284</v>
      </c>
      <c r="E155" s="137">
        <f>2284-4.4-12</f>
        <v>2267.6</v>
      </c>
      <c r="F155" s="137">
        <f>2284-4.4-12</f>
        <v>2267.6</v>
      </c>
      <c r="G155" s="137">
        <f>K155</f>
        <v>16.400000000000091</v>
      </c>
      <c r="H155" s="194"/>
      <c r="I155" s="194"/>
      <c r="J155" s="194"/>
      <c r="K155" s="137">
        <f>D155-E155</f>
        <v>16.400000000000091</v>
      </c>
      <c r="L155" s="194"/>
      <c r="M155" s="127">
        <f t="shared" si="91"/>
        <v>16.400000000000091</v>
      </c>
      <c r="N155" s="126">
        <f>G155</f>
        <v>16.400000000000091</v>
      </c>
      <c r="O155" s="126"/>
    </row>
    <row r="156" spans="1:15" s="142" customFormat="1" ht="36.950000000000003" hidden="1" customHeight="1">
      <c r="A156" s="152"/>
      <c r="B156" s="152" t="s">
        <v>288</v>
      </c>
      <c r="C156" s="137">
        <v>1</v>
      </c>
      <c r="D156" s="137">
        <v>1138</v>
      </c>
      <c r="E156" s="137">
        <v>1025</v>
      </c>
      <c r="F156" s="137">
        <v>1025</v>
      </c>
      <c r="G156" s="137">
        <f>K156</f>
        <v>113</v>
      </c>
      <c r="H156" s="194"/>
      <c r="I156" s="194"/>
      <c r="J156" s="194"/>
      <c r="K156" s="137">
        <f>D156-E156</f>
        <v>113</v>
      </c>
      <c r="L156" s="194"/>
      <c r="M156" s="127">
        <f t="shared" si="91"/>
        <v>113</v>
      </c>
      <c r="N156" s="126">
        <f>G156</f>
        <v>113</v>
      </c>
      <c r="O156" s="126"/>
    </row>
    <row r="157" spans="1:15" s="142" customFormat="1" ht="36.950000000000003" hidden="1" customHeight="1">
      <c r="A157" s="152"/>
      <c r="B157" s="152" t="s">
        <v>287</v>
      </c>
      <c r="C157" s="137">
        <v>1</v>
      </c>
      <c r="D157" s="137">
        <v>12164</v>
      </c>
      <c r="E157" s="137">
        <v>11962</v>
      </c>
      <c r="F157" s="137">
        <v>12164</v>
      </c>
      <c r="G157" s="137">
        <f>J157+K157+L157</f>
        <v>202</v>
      </c>
      <c r="H157" s="194"/>
      <c r="I157" s="194"/>
      <c r="J157" s="194"/>
      <c r="K157" s="137">
        <f>D157-E157</f>
        <v>202</v>
      </c>
      <c r="L157" s="194"/>
      <c r="M157" s="127">
        <f t="shared" si="91"/>
        <v>202</v>
      </c>
      <c r="N157" s="126">
        <f>G157</f>
        <v>202</v>
      </c>
      <c r="O157" s="126"/>
    </row>
    <row r="158" spans="1:15" s="142" customFormat="1" ht="36.950000000000003" hidden="1" customHeight="1">
      <c r="A158" s="152"/>
      <c r="B158" s="152" t="s">
        <v>286</v>
      </c>
      <c r="C158" s="137">
        <v>1</v>
      </c>
      <c r="D158" s="137">
        <v>5690</v>
      </c>
      <c r="E158" s="137">
        <v>5080</v>
      </c>
      <c r="F158" s="137">
        <v>5690</v>
      </c>
      <c r="G158" s="137">
        <f>J158+K158+L158</f>
        <v>610</v>
      </c>
      <c r="H158" s="194"/>
      <c r="I158" s="194"/>
      <c r="J158" s="194"/>
      <c r="K158" s="137">
        <f>D158-E158</f>
        <v>610</v>
      </c>
      <c r="L158" s="194"/>
      <c r="M158" s="127">
        <f t="shared" si="91"/>
        <v>610</v>
      </c>
      <c r="N158" s="126">
        <f>G158</f>
        <v>610</v>
      </c>
      <c r="O158" s="126"/>
    </row>
    <row r="159" spans="1:15" ht="54" hidden="1" customHeight="1">
      <c r="A159" s="158" t="s">
        <v>214</v>
      </c>
      <c r="B159" s="196" t="s">
        <v>213</v>
      </c>
      <c r="C159" s="156">
        <f t="shared" ref="C159:L159" si="92">SUM(C160:C173)</f>
        <v>14</v>
      </c>
      <c r="D159" s="156">
        <f t="shared" si="92"/>
        <v>38033</v>
      </c>
      <c r="E159" s="156">
        <f t="shared" si="92"/>
        <v>27667</v>
      </c>
      <c r="F159" s="156">
        <f t="shared" si="92"/>
        <v>37817</v>
      </c>
      <c r="G159" s="156">
        <f t="shared" si="92"/>
        <v>10150</v>
      </c>
      <c r="H159" s="140">
        <f t="shared" si="92"/>
        <v>0</v>
      </c>
      <c r="I159" s="140">
        <f t="shared" si="92"/>
        <v>0</v>
      </c>
      <c r="J159" s="156">
        <f t="shared" si="92"/>
        <v>0</v>
      </c>
      <c r="K159" s="156">
        <f t="shared" si="92"/>
        <v>10150</v>
      </c>
      <c r="L159" s="156">
        <f t="shared" si="92"/>
        <v>0</v>
      </c>
      <c r="M159" s="127">
        <f t="shared" si="91"/>
        <v>10150</v>
      </c>
      <c r="N159" s="156">
        <f>SUM(N160:N173)</f>
        <v>0</v>
      </c>
      <c r="O159" s="156">
        <f>SUM(O160:O173)</f>
        <v>10150</v>
      </c>
    </row>
    <row r="160" spans="1:15" s="142" customFormat="1" ht="34.5" hidden="1" customHeight="1">
      <c r="A160" s="152"/>
      <c r="B160" s="152" t="s">
        <v>285</v>
      </c>
      <c r="C160" s="137">
        <v>1</v>
      </c>
      <c r="D160" s="137">
        <v>1182</v>
      </c>
      <c r="E160" s="137">
        <v>600</v>
      </c>
      <c r="F160" s="137">
        <v>1064</v>
      </c>
      <c r="G160" s="137">
        <f t="shared" ref="G160:G173" si="93">J160+K160+L160</f>
        <v>464</v>
      </c>
      <c r="H160" s="137"/>
      <c r="I160" s="137"/>
      <c r="J160" s="137"/>
      <c r="K160" s="137">
        <f t="shared" ref="K160:K167" si="94">F160-E160</f>
        <v>464</v>
      </c>
      <c r="L160" s="137"/>
      <c r="M160" s="127">
        <f t="shared" si="91"/>
        <v>464</v>
      </c>
      <c r="N160" s="126"/>
      <c r="O160" s="126">
        <f t="shared" ref="O160:O173" si="95">G160</f>
        <v>464</v>
      </c>
    </row>
    <row r="161" spans="1:15" s="142" customFormat="1" ht="34.5" hidden="1" customHeight="1">
      <c r="A161" s="152"/>
      <c r="B161" s="152" t="s">
        <v>284</v>
      </c>
      <c r="C161" s="137">
        <v>1</v>
      </c>
      <c r="D161" s="137">
        <v>982</v>
      </c>
      <c r="E161" s="137">
        <v>536</v>
      </c>
      <c r="F161" s="137">
        <v>884</v>
      </c>
      <c r="G161" s="137">
        <f t="shared" si="93"/>
        <v>348</v>
      </c>
      <c r="H161" s="137"/>
      <c r="I161" s="137"/>
      <c r="J161" s="137"/>
      <c r="K161" s="137">
        <f t="shared" si="94"/>
        <v>348</v>
      </c>
      <c r="L161" s="137"/>
      <c r="M161" s="127">
        <f t="shared" si="91"/>
        <v>348</v>
      </c>
      <c r="N161" s="126"/>
      <c r="O161" s="126">
        <f t="shared" si="95"/>
        <v>348</v>
      </c>
    </row>
    <row r="162" spans="1:15" s="142" customFormat="1" ht="34.5" hidden="1" customHeight="1">
      <c r="A162" s="152"/>
      <c r="B162" s="152" t="s">
        <v>283</v>
      </c>
      <c r="C162" s="137">
        <v>1</v>
      </c>
      <c r="D162" s="137">
        <v>1327</v>
      </c>
      <c r="E162" s="137">
        <v>1258</v>
      </c>
      <c r="F162" s="137">
        <v>1327</v>
      </c>
      <c r="G162" s="137">
        <f t="shared" si="93"/>
        <v>69</v>
      </c>
      <c r="H162" s="137"/>
      <c r="I162" s="137"/>
      <c r="J162" s="137"/>
      <c r="K162" s="137">
        <f t="shared" si="94"/>
        <v>69</v>
      </c>
      <c r="L162" s="137"/>
      <c r="M162" s="127">
        <f t="shared" si="91"/>
        <v>69</v>
      </c>
      <c r="N162" s="126"/>
      <c r="O162" s="126">
        <f t="shared" si="95"/>
        <v>69</v>
      </c>
    </row>
    <row r="163" spans="1:15" s="142" customFormat="1" ht="34.5" hidden="1" customHeight="1">
      <c r="A163" s="152"/>
      <c r="B163" s="152" t="s">
        <v>282</v>
      </c>
      <c r="C163" s="137">
        <v>1</v>
      </c>
      <c r="D163" s="195">
        <v>1170</v>
      </c>
      <c r="E163" s="137">
        <v>1114</v>
      </c>
      <c r="F163" s="137">
        <v>1170</v>
      </c>
      <c r="G163" s="137">
        <f t="shared" si="93"/>
        <v>56</v>
      </c>
      <c r="H163" s="194"/>
      <c r="I163" s="194"/>
      <c r="J163" s="194"/>
      <c r="K163" s="137">
        <f t="shared" si="94"/>
        <v>56</v>
      </c>
      <c r="L163" s="191"/>
      <c r="M163" s="127">
        <f t="shared" si="91"/>
        <v>56</v>
      </c>
      <c r="N163" s="126"/>
      <c r="O163" s="126">
        <f t="shared" si="95"/>
        <v>56</v>
      </c>
    </row>
    <row r="164" spans="1:15" s="142" customFormat="1" ht="34.5" hidden="1" customHeight="1">
      <c r="A164" s="152"/>
      <c r="B164" s="152" t="s">
        <v>281</v>
      </c>
      <c r="C164" s="137">
        <v>1</v>
      </c>
      <c r="D164" s="195">
        <v>1133</v>
      </c>
      <c r="E164" s="137">
        <v>1079</v>
      </c>
      <c r="F164" s="137">
        <v>1133</v>
      </c>
      <c r="G164" s="137">
        <f t="shared" si="93"/>
        <v>54</v>
      </c>
      <c r="H164" s="194"/>
      <c r="I164" s="194"/>
      <c r="J164" s="194"/>
      <c r="K164" s="137">
        <f t="shared" si="94"/>
        <v>54</v>
      </c>
      <c r="L164" s="191"/>
      <c r="M164" s="127">
        <f t="shared" si="91"/>
        <v>54</v>
      </c>
      <c r="N164" s="126"/>
      <c r="O164" s="126">
        <f t="shared" si="95"/>
        <v>54</v>
      </c>
    </row>
    <row r="165" spans="1:15" s="142" customFormat="1" ht="34.5" hidden="1" customHeight="1">
      <c r="A165" s="152"/>
      <c r="B165" s="152" t="s">
        <v>280</v>
      </c>
      <c r="C165" s="137">
        <v>1</v>
      </c>
      <c r="D165" s="195">
        <v>1973</v>
      </c>
      <c r="E165" s="137">
        <v>1879</v>
      </c>
      <c r="F165" s="137">
        <v>1973</v>
      </c>
      <c r="G165" s="137">
        <f t="shared" si="93"/>
        <v>94</v>
      </c>
      <c r="H165" s="194"/>
      <c r="I165" s="194"/>
      <c r="J165" s="194"/>
      <c r="K165" s="137">
        <f t="shared" si="94"/>
        <v>94</v>
      </c>
      <c r="L165" s="191"/>
      <c r="M165" s="127">
        <f t="shared" si="91"/>
        <v>94</v>
      </c>
      <c r="N165" s="126"/>
      <c r="O165" s="126">
        <f t="shared" si="95"/>
        <v>94</v>
      </c>
    </row>
    <row r="166" spans="1:15" s="142" customFormat="1" ht="34.5" hidden="1" customHeight="1">
      <c r="A166" s="152"/>
      <c r="B166" s="152" t="s">
        <v>279</v>
      </c>
      <c r="C166" s="137">
        <v>1</v>
      </c>
      <c r="D166" s="195">
        <v>1204</v>
      </c>
      <c r="E166" s="137">
        <v>1110</v>
      </c>
      <c r="F166" s="137">
        <v>1204</v>
      </c>
      <c r="G166" s="137">
        <f t="shared" si="93"/>
        <v>94</v>
      </c>
      <c r="H166" s="194"/>
      <c r="I166" s="194"/>
      <c r="J166" s="194"/>
      <c r="K166" s="137">
        <f t="shared" si="94"/>
        <v>94</v>
      </c>
      <c r="L166" s="191"/>
      <c r="M166" s="127">
        <f t="shared" si="91"/>
        <v>94</v>
      </c>
      <c r="N166" s="126"/>
      <c r="O166" s="126">
        <f t="shared" si="95"/>
        <v>94</v>
      </c>
    </row>
    <row r="167" spans="1:15" s="142" customFormat="1" ht="34.5" hidden="1" customHeight="1">
      <c r="A167" s="152"/>
      <c r="B167" s="152" t="s">
        <v>278</v>
      </c>
      <c r="C167" s="137">
        <v>1</v>
      </c>
      <c r="D167" s="195">
        <v>1373</v>
      </c>
      <c r="E167" s="137">
        <v>1307</v>
      </c>
      <c r="F167" s="137">
        <v>1373</v>
      </c>
      <c r="G167" s="137">
        <f t="shared" si="93"/>
        <v>66</v>
      </c>
      <c r="H167" s="194"/>
      <c r="I167" s="194"/>
      <c r="J167" s="194"/>
      <c r="K167" s="137">
        <f t="shared" si="94"/>
        <v>66</v>
      </c>
      <c r="L167" s="191"/>
      <c r="M167" s="127">
        <f t="shared" si="91"/>
        <v>66</v>
      </c>
      <c r="N167" s="126"/>
      <c r="O167" s="126">
        <f t="shared" si="95"/>
        <v>66</v>
      </c>
    </row>
    <row r="168" spans="1:15" s="142" customFormat="1" ht="45.75" hidden="1" customHeight="1">
      <c r="A168" s="152"/>
      <c r="B168" s="152" t="s">
        <v>277</v>
      </c>
      <c r="C168" s="137">
        <v>1</v>
      </c>
      <c r="D168" s="195">
        <v>4923</v>
      </c>
      <c r="E168" s="137">
        <v>4689</v>
      </c>
      <c r="F168" s="137">
        <v>4923</v>
      </c>
      <c r="G168" s="137">
        <f t="shared" si="93"/>
        <v>234</v>
      </c>
      <c r="H168" s="194"/>
      <c r="I168" s="194"/>
      <c r="J168" s="194"/>
      <c r="K168" s="137">
        <f>D168-E168</f>
        <v>234</v>
      </c>
      <c r="L168" s="191"/>
      <c r="M168" s="127">
        <f t="shared" si="91"/>
        <v>234</v>
      </c>
      <c r="N168" s="126"/>
      <c r="O168" s="126">
        <f t="shared" si="95"/>
        <v>234</v>
      </c>
    </row>
    <row r="169" spans="1:15" s="142" customFormat="1" ht="34.5" hidden="1" customHeight="1">
      <c r="A169" s="152"/>
      <c r="B169" s="152" t="s">
        <v>276</v>
      </c>
      <c r="C169" s="137">
        <v>1</v>
      </c>
      <c r="D169" s="195">
        <v>1600</v>
      </c>
      <c r="E169" s="137">
        <v>1521</v>
      </c>
      <c r="F169" s="137">
        <v>1600</v>
      </c>
      <c r="G169" s="137">
        <f t="shared" si="93"/>
        <v>79</v>
      </c>
      <c r="H169" s="194"/>
      <c r="I169" s="194"/>
      <c r="J169" s="194"/>
      <c r="K169" s="137">
        <f>D169-E169</f>
        <v>79</v>
      </c>
      <c r="L169" s="191"/>
      <c r="M169" s="127">
        <f t="shared" si="91"/>
        <v>79</v>
      </c>
      <c r="N169" s="126"/>
      <c r="O169" s="126">
        <f t="shared" si="95"/>
        <v>79</v>
      </c>
    </row>
    <row r="170" spans="1:15" s="142" customFormat="1" ht="34.5" hidden="1" customHeight="1">
      <c r="A170" s="152"/>
      <c r="B170" s="152" t="s">
        <v>275</v>
      </c>
      <c r="C170" s="137">
        <v>1</v>
      </c>
      <c r="D170" s="137">
        <v>14900</v>
      </c>
      <c r="E170" s="137">
        <v>8900</v>
      </c>
      <c r="F170" s="137">
        <v>14900</v>
      </c>
      <c r="G170" s="137">
        <f t="shared" si="93"/>
        <v>6000</v>
      </c>
      <c r="H170" s="137"/>
      <c r="I170" s="137"/>
      <c r="J170" s="137"/>
      <c r="K170" s="137">
        <f>F170-E170</f>
        <v>6000</v>
      </c>
      <c r="L170" s="137"/>
      <c r="M170" s="127">
        <f t="shared" si="91"/>
        <v>6000</v>
      </c>
      <c r="N170" s="126"/>
      <c r="O170" s="126">
        <f t="shared" si="95"/>
        <v>6000</v>
      </c>
    </row>
    <row r="171" spans="1:15" s="142" customFormat="1" ht="34.5" hidden="1" customHeight="1">
      <c r="A171" s="152"/>
      <c r="B171" s="152" t="s">
        <v>274</v>
      </c>
      <c r="C171" s="137">
        <v>1</v>
      </c>
      <c r="D171" s="137">
        <v>2495</v>
      </c>
      <c r="E171" s="137">
        <v>0</v>
      </c>
      <c r="F171" s="137">
        <v>2495</v>
      </c>
      <c r="G171" s="137">
        <f t="shared" si="93"/>
        <v>2495</v>
      </c>
      <c r="H171" s="137"/>
      <c r="I171" s="137"/>
      <c r="J171" s="137"/>
      <c r="K171" s="137">
        <f>F171-E171</f>
        <v>2495</v>
      </c>
      <c r="L171" s="137"/>
      <c r="M171" s="127">
        <f t="shared" si="91"/>
        <v>2495</v>
      </c>
      <c r="N171" s="126"/>
      <c r="O171" s="126">
        <f t="shared" si="95"/>
        <v>2495</v>
      </c>
    </row>
    <row r="172" spans="1:15" s="142" customFormat="1" ht="34.5" hidden="1" customHeight="1">
      <c r="A172" s="152"/>
      <c r="B172" s="152" t="s">
        <v>273</v>
      </c>
      <c r="C172" s="137">
        <v>1</v>
      </c>
      <c r="D172" s="195">
        <v>2620</v>
      </c>
      <c r="E172" s="137">
        <v>2577</v>
      </c>
      <c r="F172" s="137">
        <v>2620</v>
      </c>
      <c r="G172" s="137">
        <f t="shared" si="93"/>
        <v>43</v>
      </c>
      <c r="H172" s="194"/>
      <c r="I172" s="194"/>
      <c r="J172" s="194"/>
      <c r="K172" s="137">
        <f>F172-E172</f>
        <v>43</v>
      </c>
      <c r="L172" s="191"/>
      <c r="M172" s="127">
        <f t="shared" si="91"/>
        <v>43</v>
      </c>
      <c r="N172" s="126"/>
      <c r="O172" s="126">
        <f t="shared" si="95"/>
        <v>43</v>
      </c>
    </row>
    <row r="173" spans="1:15" s="142" customFormat="1" ht="34.5" hidden="1" customHeight="1">
      <c r="A173" s="152"/>
      <c r="B173" s="152" t="s">
        <v>272</v>
      </c>
      <c r="C173" s="193">
        <v>1</v>
      </c>
      <c r="D173" s="192">
        <v>1151</v>
      </c>
      <c r="E173" s="192">
        <v>1097</v>
      </c>
      <c r="F173" s="192">
        <v>1151</v>
      </c>
      <c r="G173" s="137">
        <f t="shared" si="93"/>
        <v>54</v>
      </c>
      <c r="H173" s="192"/>
      <c r="I173" s="192"/>
      <c r="J173" s="192"/>
      <c r="K173" s="137">
        <f>F173-E173</f>
        <v>54</v>
      </c>
      <c r="L173" s="191"/>
      <c r="M173" s="127">
        <f t="shared" si="91"/>
        <v>54</v>
      </c>
      <c r="N173" s="126"/>
      <c r="O173" s="126">
        <f t="shared" si="95"/>
        <v>54</v>
      </c>
    </row>
    <row r="174" spans="1:15" s="168" customFormat="1" ht="43.5" hidden="1" customHeight="1">
      <c r="A174" s="135" t="s">
        <v>214</v>
      </c>
      <c r="B174" s="134" t="s">
        <v>212</v>
      </c>
      <c r="C174" s="162"/>
      <c r="D174" s="163"/>
      <c r="E174" s="162"/>
      <c r="F174" s="162"/>
      <c r="G174" s="143"/>
      <c r="H174" s="162"/>
      <c r="I174" s="162"/>
      <c r="J174" s="162"/>
      <c r="K174" s="162"/>
      <c r="L174" s="163"/>
      <c r="M174" s="127">
        <f t="shared" si="91"/>
        <v>0</v>
      </c>
      <c r="N174" s="126"/>
      <c r="O174" s="126">
        <f>M174</f>
        <v>0</v>
      </c>
    </row>
    <row r="175" spans="1:15" s="142" customFormat="1">
      <c r="A175" s="146">
        <v>13</v>
      </c>
      <c r="B175" s="145" t="s">
        <v>37</v>
      </c>
      <c r="C175" s="143">
        <f t="shared" ref="C175:G175" si="96">+C176</f>
        <v>3</v>
      </c>
      <c r="D175" s="143">
        <f t="shared" si="96"/>
        <v>9150</v>
      </c>
      <c r="E175" s="143">
        <f t="shared" si="96"/>
        <v>8119.4189999999999</v>
      </c>
      <c r="F175" s="143">
        <f t="shared" si="96"/>
        <v>8969.6570000000011</v>
      </c>
      <c r="G175" s="143">
        <f t="shared" si="96"/>
        <v>850.23800000000074</v>
      </c>
      <c r="H175" s="144">
        <f t="shared" ref="H175:O175" si="97">H176+H180+H181</f>
        <v>0</v>
      </c>
      <c r="I175" s="144">
        <f t="shared" si="97"/>
        <v>0</v>
      </c>
      <c r="J175" s="143">
        <f t="shared" ref="J175:L175" si="98">+J176</f>
        <v>0</v>
      </c>
      <c r="K175" s="143">
        <f t="shared" si="98"/>
        <v>850.23800000000074</v>
      </c>
      <c r="L175" s="143">
        <f t="shared" si="98"/>
        <v>0</v>
      </c>
      <c r="M175" s="143">
        <f t="shared" si="97"/>
        <v>5666.9380000000001</v>
      </c>
      <c r="N175" s="143">
        <f>+N176</f>
        <v>850.23800000000074</v>
      </c>
      <c r="O175" s="143">
        <f t="shared" si="97"/>
        <v>4816.7</v>
      </c>
    </row>
    <row r="176" spans="1:15">
      <c r="A176" s="158" t="s">
        <v>414</v>
      </c>
      <c r="B176" s="152" t="s">
        <v>215</v>
      </c>
      <c r="C176" s="127">
        <f t="shared" ref="C176:O176" si="99">SUM(C177:C179)</f>
        <v>3</v>
      </c>
      <c r="D176" s="127">
        <f t="shared" si="99"/>
        <v>9150</v>
      </c>
      <c r="E176" s="127">
        <f t="shared" si="99"/>
        <v>8119.4189999999999</v>
      </c>
      <c r="F176" s="127">
        <f t="shared" si="99"/>
        <v>8969.6570000000011</v>
      </c>
      <c r="G176" s="127">
        <f t="shared" si="99"/>
        <v>850.23800000000074</v>
      </c>
      <c r="H176" s="126">
        <f t="shared" si="99"/>
        <v>0</v>
      </c>
      <c r="I176" s="126">
        <f t="shared" si="99"/>
        <v>0</v>
      </c>
      <c r="J176" s="127">
        <f t="shared" si="99"/>
        <v>0</v>
      </c>
      <c r="K176" s="127">
        <f t="shared" si="99"/>
        <v>850.23800000000074</v>
      </c>
      <c r="L176" s="127">
        <f t="shared" si="99"/>
        <v>0</v>
      </c>
      <c r="M176" s="127">
        <f t="shared" si="99"/>
        <v>850.23800000000074</v>
      </c>
      <c r="N176" s="127">
        <f t="shared" si="99"/>
        <v>850.23800000000074</v>
      </c>
      <c r="O176" s="127">
        <f t="shared" si="99"/>
        <v>0</v>
      </c>
    </row>
    <row r="177" spans="1:15" s="168" customFormat="1" hidden="1">
      <c r="A177" s="153"/>
      <c r="B177" s="152" t="s">
        <v>271</v>
      </c>
      <c r="C177" s="162">
        <v>1</v>
      </c>
      <c r="D177" s="163">
        <v>150</v>
      </c>
      <c r="E177" s="162">
        <v>0</v>
      </c>
      <c r="F177" s="162">
        <v>142.5</v>
      </c>
      <c r="G177" s="156">
        <f>H177+I177+J177+K177+L177</f>
        <v>142.5</v>
      </c>
      <c r="H177" s="162"/>
      <c r="I177" s="162"/>
      <c r="J177" s="162"/>
      <c r="K177" s="162">
        <f>F177-E177</f>
        <v>142.5</v>
      </c>
      <c r="L177" s="163"/>
      <c r="M177" s="127">
        <f t="shared" ref="M177:M182" si="100">G177</f>
        <v>142.5</v>
      </c>
      <c r="N177" s="126">
        <f>G177</f>
        <v>142.5</v>
      </c>
      <c r="O177" s="126"/>
    </row>
    <row r="178" spans="1:15" s="168" customFormat="1" ht="31.5" hidden="1">
      <c r="A178" s="153"/>
      <c r="B178" s="152" t="s">
        <v>270</v>
      </c>
      <c r="C178" s="162">
        <v>1</v>
      </c>
      <c r="D178" s="128">
        <v>3000</v>
      </c>
      <c r="E178" s="162">
        <v>2669.4189999999999</v>
      </c>
      <c r="F178" s="128">
        <v>2849.8560000000002</v>
      </c>
      <c r="G178" s="156">
        <f>H178+I178+J178+K178+L178</f>
        <v>180.43700000000035</v>
      </c>
      <c r="H178" s="162"/>
      <c r="I178" s="162"/>
      <c r="J178" s="162"/>
      <c r="K178" s="162">
        <f>F178-E178</f>
        <v>180.43700000000035</v>
      </c>
      <c r="L178" s="163"/>
      <c r="M178" s="127">
        <f t="shared" si="100"/>
        <v>180.43700000000035</v>
      </c>
      <c r="N178" s="126">
        <f>G178</f>
        <v>180.43700000000035</v>
      </c>
      <c r="O178" s="126"/>
    </row>
    <row r="179" spans="1:15" s="168" customFormat="1" ht="48" hidden="1" customHeight="1">
      <c r="A179" s="153"/>
      <c r="B179" s="152" t="s">
        <v>269</v>
      </c>
      <c r="C179" s="162">
        <v>1</v>
      </c>
      <c r="D179" s="128">
        <v>6000</v>
      </c>
      <c r="E179" s="162">
        <v>5450</v>
      </c>
      <c r="F179" s="128">
        <v>5977.3010000000004</v>
      </c>
      <c r="G179" s="156">
        <f>H179+I179+J179+K179+L179</f>
        <v>527.30100000000039</v>
      </c>
      <c r="H179" s="162"/>
      <c r="I179" s="162"/>
      <c r="J179" s="162"/>
      <c r="K179" s="162">
        <f>F179-E179</f>
        <v>527.30100000000039</v>
      </c>
      <c r="L179" s="163"/>
      <c r="M179" s="127">
        <f t="shared" si="100"/>
        <v>527.30100000000039</v>
      </c>
      <c r="N179" s="126">
        <f>G179</f>
        <v>527.30100000000039</v>
      </c>
      <c r="O179" s="126"/>
    </row>
    <row r="180" spans="1:15" ht="31.5" hidden="1">
      <c r="A180" s="158" t="s">
        <v>214</v>
      </c>
      <c r="B180" s="152" t="s">
        <v>213</v>
      </c>
      <c r="C180" s="156">
        <v>0</v>
      </c>
      <c r="D180" s="156">
        <v>0</v>
      </c>
      <c r="E180" s="156">
        <v>0</v>
      </c>
      <c r="F180" s="156">
        <v>0</v>
      </c>
      <c r="G180" s="156">
        <v>0</v>
      </c>
      <c r="H180" s="162">
        <v>0</v>
      </c>
      <c r="I180" s="162">
        <v>0</v>
      </c>
      <c r="J180" s="156">
        <v>0</v>
      </c>
      <c r="K180" s="156">
        <v>0</v>
      </c>
      <c r="L180" s="156">
        <v>0</v>
      </c>
      <c r="M180" s="127">
        <f t="shared" si="100"/>
        <v>0</v>
      </c>
      <c r="N180" s="127">
        <f>M180</f>
        <v>0</v>
      </c>
      <c r="O180" s="127">
        <f>M180</f>
        <v>0</v>
      </c>
    </row>
    <row r="181" spans="1:15" s="168" customFormat="1" hidden="1">
      <c r="A181" s="135" t="s">
        <v>214</v>
      </c>
      <c r="B181" s="134" t="s">
        <v>212</v>
      </c>
      <c r="C181" s="140">
        <f t="shared" ref="C181:L181" si="101">SUM(C182)</f>
        <v>1</v>
      </c>
      <c r="D181" s="140">
        <f t="shared" si="101"/>
        <v>6881</v>
      </c>
      <c r="E181" s="140">
        <f t="shared" si="101"/>
        <v>0</v>
      </c>
      <c r="F181" s="140">
        <f t="shared" si="101"/>
        <v>4816.7</v>
      </c>
      <c r="G181" s="140">
        <f t="shared" si="101"/>
        <v>4816.7</v>
      </c>
      <c r="H181" s="140">
        <f t="shared" si="101"/>
        <v>0</v>
      </c>
      <c r="I181" s="140">
        <f t="shared" si="101"/>
        <v>0</v>
      </c>
      <c r="J181" s="140">
        <f t="shared" si="101"/>
        <v>0</v>
      </c>
      <c r="K181" s="140">
        <f t="shared" si="101"/>
        <v>4816.7</v>
      </c>
      <c r="L181" s="140">
        <f t="shared" si="101"/>
        <v>0</v>
      </c>
      <c r="M181" s="127">
        <f t="shared" si="100"/>
        <v>4816.7</v>
      </c>
      <c r="N181" s="140">
        <f>SUM(N182)</f>
        <v>0</v>
      </c>
      <c r="O181" s="140">
        <f>SUM(O182)</f>
        <v>4816.7</v>
      </c>
    </row>
    <row r="182" spans="1:15" s="166" customFormat="1" ht="31.5" hidden="1">
      <c r="A182" s="153"/>
      <c r="B182" s="152" t="s">
        <v>268</v>
      </c>
      <c r="C182" s="156">
        <v>1</v>
      </c>
      <c r="D182" s="156">
        <v>6881</v>
      </c>
      <c r="E182" s="156"/>
      <c r="F182" s="156">
        <f>D182*0.7</f>
        <v>4816.7</v>
      </c>
      <c r="G182" s="162">
        <f>SUM(J182:L182)</f>
        <v>4816.7</v>
      </c>
      <c r="H182" s="156"/>
      <c r="I182" s="156"/>
      <c r="J182" s="156"/>
      <c r="K182" s="156">
        <f>F182-E182</f>
        <v>4816.7</v>
      </c>
      <c r="L182" s="156"/>
      <c r="M182" s="127">
        <f t="shared" si="100"/>
        <v>4816.7</v>
      </c>
      <c r="N182" s="127"/>
      <c r="O182" s="127">
        <f>G182</f>
        <v>4816.7</v>
      </c>
    </row>
    <row r="183" spans="1:15" s="154" customFormat="1">
      <c r="A183" s="146">
        <v>14</v>
      </c>
      <c r="B183" s="161" t="s">
        <v>36</v>
      </c>
      <c r="C183" s="159">
        <f t="shared" ref="C183:G183" si="102">+C184</f>
        <v>4</v>
      </c>
      <c r="D183" s="159">
        <f t="shared" si="102"/>
        <v>11836.040999999999</v>
      </c>
      <c r="E183" s="159">
        <f t="shared" si="102"/>
        <v>10400</v>
      </c>
      <c r="F183" s="159">
        <f t="shared" si="102"/>
        <v>10606.897999999999</v>
      </c>
      <c r="G183" s="159">
        <f t="shared" si="102"/>
        <v>206.89799999999991</v>
      </c>
      <c r="H183" s="160">
        <f t="shared" ref="H183:O183" si="103">H184+H189+H192</f>
        <v>0</v>
      </c>
      <c r="I183" s="160">
        <f t="shared" si="103"/>
        <v>0</v>
      </c>
      <c r="J183" s="159">
        <f t="shared" ref="J183:L183" si="104">+J184</f>
        <v>0</v>
      </c>
      <c r="K183" s="159">
        <f t="shared" si="104"/>
        <v>206.89799999999991</v>
      </c>
      <c r="L183" s="159">
        <f t="shared" si="104"/>
        <v>0</v>
      </c>
      <c r="M183" s="159">
        <f t="shared" si="103"/>
        <v>2666.8980000000001</v>
      </c>
      <c r="N183" s="159">
        <f>+N184</f>
        <v>206.89799999999991</v>
      </c>
      <c r="O183" s="159">
        <f t="shared" si="103"/>
        <v>2460</v>
      </c>
    </row>
    <row r="184" spans="1:15">
      <c r="A184" s="158" t="s">
        <v>414</v>
      </c>
      <c r="B184" s="152" t="s">
        <v>267</v>
      </c>
      <c r="C184" s="128">
        <f t="shared" ref="C184:L184" si="105">SUM(C185:C188)</f>
        <v>4</v>
      </c>
      <c r="D184" s="128">
        <f t="shared" si="105"/>
        <v>11836.040999999999</v>
      </c>
      <c r="E184" s="128">
        <f t="shared" si="105"/>
        <v>10400</v>
      </c>
      <c r="F184" s="128">
        <f t="shared" si="105"/>
        <v>10606.897999999999</v>
      </c>
      <c r="G184" s="128">
        <f t="shared" si="105"/>
        <v>206.89799999999991</v>
      </c>
      <c r="H184" s="133">
        <f t="shared" si="105"/>
        <v>0</v>
      </c>
      <c r="I184" s="133">
        <f t="shared" si="105"/>
        <v>0</v>
      </c>
      <c r="J184" s="128">
        <f t="shared" si="105"/>
        <v>0</v>
      </c>
      <c r="K184" s="128">
        <f t="shared" si="105"/>
        <v>206.89799999999991</v>
      </c>
      <c r="L184" s="128">
        <f t="shared" si="105"/>
        <v>0</v>
      </c>
      <c r="M184" s="127">
        <f>G184</f>
        <v>206.89799999999991</v>
      </c>
      <c r="N184" s="126">
        <f>M184</f>
        <v>206.89799999999991</v>
      </c>
      <c r="O184" s="126"/>
    </row>
    <row r="185" spans="1:15" s="142" customFormat="1" hidden="1">
      <c r="A185" s="153"/>
      <c r="B185" s="152" t="s">
        <v>266</v>
      </c>
      <c r="C185" s="189">
        <v>1</v>
      </c>
      <c r="D185" s="156">
        <v>4466</v>
      </c>
      <c r="E185" s="156">
        <v>4010</v>
      </c>
      <c r="F185" s="156">
        <v>4046</v>
      </c>
      <c r="G185" s="156">
        <f>K185</f>
        <v>36</v>
      </c>
      <c r="H185" s="156"/>
      <c r="I185" s="156"/>
      <c r="J185" s="156"/>
      <c r="K185" s="156">
        <f>F185-E185</f>
        <v>36</v>
      </c>
      <c r="L185" s="163"/>
      <c r="M185" s="127">
        <f>G185</f>
        <v>36</v>
      </c>
      <c r="N185" s="126">
        <f>M185</f>
        <v>36</v>
      </c>
      <c r="O185" s="126"/>
    </row>
    <row r="186" spans="1:15" s="142" customFormat="1" hidden="1">
      <c r="A186" s="153"/>
      <c r="B186" s="152" t="s">
        <v>265</v>
      </c>
      <c r="C186" s="189">
        <v>1</v>
      </c>
      <c r="D186" s="156">
        <v>4824</v>
      </c>
      <c r="E186" s="156">
        <v>4065</v>
      </c>
      <c r="F186" s="156">
        <v>4130</v>
      </c>
      <c r="G186" s="156">
        <f>K186</f>
        <v>65</v>
      </c>
      <c r="H186" s="156"/>
      <c r="I186" s="156"/>
      <c r="J186" s="156"/>
      <c r="K186" s="156">
        <f>F186-E186</f>
        <v>65</v>
      </c>
      <c r="L186" s="163"/>
      <c r="M186" s="127">
        <f>G186</f>
        <v>65</v>
      </c>
      <c r="N186" s="126">
        <f>M186</f>
        <v>65</v>
      </c>
      <c r="O186" s="126"/>
    </row>
    <row r="187" spans="1:15" s="142" customFormat="1" hidden="1">
      <c r="A187" s="153"/>
      <c r="B187" s="152" t="s">
        <v>264</v>
      </c>
      <c r="C187" s="189">
        <v>1</v>
      </c>
      <c r="D187" s="156">
        <v>1386</v>
      </c>
      <c r="E187" s="156">
        <v>1358</v>
      </c>
      <c r="F187" s="156">
        <v>1368</v>
      </c>
      <c r="G187" s="156">
        <f>K187</f>
        <v>10</v>
      </c>
      <c r="H187" s="156"/>
      <c r="I187" s="156"/>
      <c r="J187" s="156"/>
      <c r="K187" s="156">
        <f>F187-E187</f>
        <v>10</v>
      </c>
      <c r="L187" s="163"/>
      <c r="M187" s="127">
        <f>G187</f>
        <v>10</v>
      </c>
      <c r="N187" s="126">
        <f>M187</f>
        <v>10</v>
      </c>
      <c r="O187" s="126"/>
    </row>
    <row r="188" spans="1:15" s="142" customFormat="1" hidden="1">
      <c r="A188" s="153"/>
      <c r="B188" s="152" t="s">
        <v>263</v>
      </c>
      <c r="C188" s="189">
        <v>1</v>
      </c>
      <c r="D188" s="156">
        <v>1160.0409999999999</v>
      </c>
      <c r="E188" s="156">
        <v>967</v>
      </c>
      <c r="F188" s="156">
        <f>700+300+62.898</f>
        <v>1062.8979999999999</v>
      </c>
      <c r="G188" s="156">
        <f>K188</f>
        <v>95.897999999999911</v>
      </c>
      <c r="H188" s="156"/>
      <c r="I188" s="156"/>
      <c r="J188" s="156"/>
      <c r="K188" s="156">
        <f>F188-E188</f>
        <v>95.897999999999911</v>
      </c>
      <c r="L188" s="163"/>
      <c r="M188" s="127">
        <f>G188</f>
        <v>95.897999999999911</v>
      </c>
      <c r="N188" s="126">
        <f>M188</f>
        <v>95.897999999999911</v>
      </c>
      <c r="O188" s="126"/>
    </row>
    <row r="189" spans="1:15" ht="31.5" hidden="1">
      <c r="A189" s="158" t="s">
        <v>214</v>
      </c>
      <c r="B189" s="152" t="s">
        <v>213</v>
      </c>
      <c r="C189" s="189">
        <f t="shared" ref="C189:O189" si="106">SUM(C190:C191)</f>
        <v>2</v>
      </c>
      <c r="D189" s="189">
        <f t="shared" si="106"/>
        <v>14447.375</v>
      </c>
      <c r="E189" s="189">
        <f t="shared" si="106"/>
        <v>11869</v>
      </c>
      <c r="F189" s="189">
        <f t="shared" si="106"/>
        <v>14329</v>
      </c>
      <c r="G189" s="189">
        <f t="shared" si="106"/>
        <v>2460</v>
      </c>
      <c r="H189" s="190">
        <f t="shared" si="106"/>
        <v>0</v>
      </c>
      <c r="I189" s="190">
        <f t="shared" si="106"/>
        <v>0</v>
      </c>
      <c r="J189" s="189">
        <f t="shared" si="106"/>
        <v>0</v>
      </c>
      <c r="K189" s="189">
        <f t="shared" si="106"/>
        <v>2460</v>
      </c>
      <c r="L189" s="189">
        <f t="shared" si="106"/>
        <v>0</v>
      </c>
      <c r="M189" s="189">
        <f t="shared" si="106"/>
        <v>2460</v>
      </c>
      <c r="N189" s="189">
        <f t="shared" si="106"/>
        <v>0</v>
      </c>
      <c r="O189" s="189">
        <f t="shared" si="106"/>
        <v>2460</v>
      </c>
    </row>
    <row r="190" spans="1:15" s="188" customFormat="1" ht="31.5" hidden="1">
      <c r="A190" s="170"/>
      <c r="B190" s="164" t="s">
        <v>262</v>
      </c>
      <c r="C190" s="162">
        <v>1</v>
      </c>
      <c r="D190" s="189">
        <v>13197.375</v>
      </c>
      <c r="E190" s="162">
        <v>11005</v>
      </c>
      <c r="F190" s="162">
        <v>13129</v>
      </c>
      <c r="G190" s="156">
        <f>H190+I190+J190+K190+L190</f>
        <v>2124</v>
      </c>
      <c r="H190" s="156"/>
      <c r="I190" s="162"/>
      <c r="J190" s="162"/>
      <c r="K190" s="162">
        <f>F190-E190</f>
        <v>2124</v>
      </c>
      <c r="L190" s="163"/>
      <c r="M190" s="127">
        <f>G190</f>
        <v>2124</v>
      </c>
      <c r="N190" s="126"/>
      <c r="O190" s="126">
        <f>M190</f>
        <v>2124</v>
      </c>
    </row>
    <row r="191" spans="1:15" s="188" customFormat="1" ht="31.5" hidden="1">
      <c r="A191" s="170"/>
      <c r="B191" s="164" t="s">
        <v>261</v>
      </c>
      <c r="C191" s="162">
        <v>1</v>
      </c>
      <c r="D191" s="189">
        <v>1250</v>
      </c>
      <c r="E191" s="162">
        <v>864</v>
      </c>
      <c r="F191" s="162">
        <v>1200</v>
      </c>
      <c r="G191" s="156">
        <f>H191+I191+J191+K191+L191</f>
        <v>336</v>
      </c>
      <c r="H191" s="156"/>
      <c r="I191" s="162"/>
      <c r="J191" s="162"/>
      <c r="K191" s="162">
        <f>F191-E191</f>
        <v>336</v>
      </c>
      <c r="L191" s="163"/>
      <c r="M191" s="127">
        <f>G191</f>
        <v>336</v>
      </c>
      <c r="N191" s="126"/>
      <c r="O191" s="126">
        <f>M191</f>
        <v>336</v>
      </c>
    </row>
    <row r="192" spans="1:15" s="132" customFormat="1" ht="17.25" hidden="1">
      <c r="A192" s="135" t="s">
        <v>214</v>
      </c>
      <c r="B192" s="141" t="s">
        <v>212</v>
      </c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59"/>
      <c r="N192" s="126"/>
      <c r="O192" s="126"/>
    </row>
    <row r="193" spans="1:15" s="142" customFormat="1">
      <c r="A193" s="146">
        <v>15</v>
      </c>
      <c r="B193" s="145" t="s">
        <v>35</v>
      </c>
      <c r="C193" s="143">
        <f t="shared" ref="C193:G193" si="107">+C194</f>
        <v>1</v>
      </c>
      <c r="D193" s="143">
        <f t="shared" si="107"/>
        <v>14663</v>
      </c>
      <c r="E193" s="143">
        <f t="shared" si="107"/>
        <v>13365</v>
      </c>
      <c r="F193" s="143">
        <f t="shared" si="107"/>
        <v>14465.359</v>
      </c>
      <c r="G193" s="143">
        <f t="shared" si="107"/>
        <v>1100.3590000000004</v>
      </c>
      <c r="H193" s="144">
        <f t="shared" ref="H193:O193" si="108">H194+H196+H197</f>
        <v>0</v>
      </c>
      <c r="I193" s="144">
        <f t="shared" si="108"/>
        <v>0</v>
      </c>
      <c r="J193" s="143">
        <f t="shared" ref="J193:L193" si="109">+J194</f>
        <v>0</v>
      </c>
      <c r="K193" s="143">
        <f t="shared" si="109"/>
        <v>1100.3590000000004</v>
      </c>
      <c r="L193" s="143">
        <f t="shared" si="109"/>
        <v>0</v>
      </c>
      <c r="M193" s="143">
        <f t="shared" si="108"/>
        <v>1100.3590000000004</v>
      </c>
      <c r="N193" s="143">
        <f>+N194</f>
        <v>1100.3590000000004</v>
      </c>
      <c r="O193" s="143">
        <f t="shared" si="108"/>
        <v>0</v>
      </c>
    </row>
    <row r="194" spans="1:15">
      <c r="A194" s="186" t="s">
        <v>414</v>
      </c>
      <c r="B194" s="187" t="s">
        <v>215</v>
      </c>
      <c r="C194" s="156">
        <f t="shared" ref="C194:O194" si="110">SUM(C195:C195)</f>
        <v>1</v>
      </c>
      <c r="D194" s="156">
        <f t="shared" si="110"/>
        <v>14663</v>
      </c>
      <c r="E194" s="156">
        <f t="shared" si="110"/>
        <v>13365</v>
      </c>
      <c r="F194" s="156">
        <f t="shared" si="110"/>
        <v>14465.359</v>
      </c>
      <c r="G194" s="156">
        <f t="shared" si="110"/>
        <v>1100.3590000000004</v>
      </c>
      <c r="H194" s="140">
        <f t="shared" si="110"/>
        <v>0</v>
      </c>
      <c r="I194" s="140">
        <f t="shared" si="110"/>
        <v>0</v>
      </c>
      <c r="J194" s="156">
        <f t="shared" si="110"/>
        <v>0</v>
      </c>
      <c r="K194" s="156">
        <f t="shared" si="110"/>
        <v>1100.3590000000004</v>
      </c>
      <c r="L194" s="156">
        <f t="shared" si="110"/>
        <v>0</v>
      </c>
      <c r="M194" s="156">
        <f t="shared" si="110"/>
        <v>1100.3590000000004</v>
      </c>
      <c r="N194" s="156">
        <f t="shared" si="110"/>
        <v>1100.3590000000004</v>
      </c>
      <c r="O194" s="156">
        <f t="shared" si="110"/>
        <v>0</v>
      </c>
    </row>
    <row r="195" spans="1:15" s="168" customFormat="1" ht="31.5" hidden="1">
      <c r="A195" s="184"/>
      <c r="B195" s="183" t="s">
        <v>260</v>
      </c>
      <c r="C195" s="162">
        <v>1</v>
      </c>
      <c r="D195" s="163">
        <v>14663</v>
      </c>
      <c r="E195" s="162">
        <v>13365</v>
      </c>
      <c r="F195" s="162">
        <v>14465.359</v>
      </c>
      <c r="G195" s="156">
        <f>H195+I195+J195+K195+L195</f>
        <v>1100.3590000000004</v>
      </c>
      <c r="H195" s="162"/>
      <c r="I195" s="162"/>
      <c r="J195" s="162"/>
      <c r="K195" s="162">
        <f>F195-E195</f>
        <v>1100.3590000000004</v>
      </c>
      <c r="L195" s="163"/>
      <c r="M195" s="127">
        <f>G195</f>
        <v>1100.3590000000004</v>
      </c>
      <c r="N195" s="126">
        <f>G195</f>
        <v>1100.3590000000004</v>
      </c>
      <c r="O195" s="126"/>
    </row>
    <row r="196" spans="1:15" ht="31.5" hidden="1">
      <c r="A196" s="186" t="s">
        <v>214</v>
      </c>
      <c r="B196" s="152" t="s">
        <v>213</v>
      </c>
      <c r="C196" s="156"/>
      <c r="D196" s="127"/>
      <c r="E196" s="156"/>
      <c r="F196" s="156"/>
      <c r="G196" s="156"/>
      <c r="H196" s="162"/>
      <c r="I196" s="162"/>
      <c r="J196" s="156"/>
      <c r="K196" s="156"/>
      <c r="L196" s="127"/>
      <c r="M196" s="127">
        <f>G196</f>
        <v>0</v>
      </c>
      <c r="N196" s="127">
        <f>M196</f>
        <v>0</v>
      </c>
      <c r="O196" s="127">
        <f>M196</f>
        <v>0</v>
      </c>
    </row>
    <row r="197" spans="1:15" s="168" customFormat="1" hidden="1">
      <c r="A197" s="185" t="s">
        <v>214</v>
      </c>
      <c r="B197" s="141" t="s">
        <v>212</v>
      </c>
      <c r="C197" s="140">
        <f t="shared" ref="C197:M197" si="111">SUM(C198)</f>
        <v>0</v>
      </c>
      <c r="D197" s="140">
        <f t="shared" si="111"/>
        <v>0</v>
      </c>
      <c r="E197" s="140">
        <f t="shared" si="111"/>
        <v>0</v>
      </c>
      <c r="F197" s="140">
        <f t="shared" si="111"/>
        <v>0</v>
      </c>
      <c r="G197" s="140">
        <f t="shared" si="111"/>
        <v>0</v>
      </c>
      <c r="H197" s="140">
        <f t="shared" si="111"/>
        <v>0</v>
      </c>
      <c r="I197" s="140">
        <f t="shared" si="111"/>
        <v>0</v>
      </c>
      <c r="J197" s="140">
        <f t="shared" si="111"/>
        <v>0</v>
      </c>
      <c r="K197" s="140">
        <f t="shared" si="111"/>
        <v>0</v>
      </c>
      <c r="L197" s="140">
        <f t="shared" si="111"/>
        <v>0</v>
      </c>
      <c r="M197" s="140">
        <f t="shared" si="111"/>
        <v>0</v>
      </c>
      <c r="N197" s="126">
        <f>M197</f>
        <v>0</v>
      </c>
      <c r="O197" s="126">
        <f>M197</f>
        <v>0</v>
      </c>
    </row>
    <row r="198" spans="1:15" s="168" customFormat="1" hidden="1">
      <c r="A198" s="184"/>
      <c r="B198" s="183"/>
      <c r="C198" s="162"/>
      <c r="D198" s="163"/>
      <c r="E198" s="162"/>
      <c r="F198" s="162"/>
      <c r="G198" s="156"/>
      <c r="H198" s="162"/>
      <c r="I198" s="162"/>
      <c r="J198" s="162"/>
      <c r="K198" s="162"/>
      <c r="L198" s="163"/>
      <c r="M198" s="127"/>
      <c r="N198" s="126"/>
      <c r="O198" s="126"/>
    </row>
    <row r="199" spans="1:15">
      <c r="A199" s="146">
        <v>16</v>
      </c>
      <c r="B199" s="161" t="s">
        <v>34</v>
      </c>
      <c r="C199" s="159">
        <f t="shared" ref="C199:G199" si="112">+C200</f>
        <v>9</v>
      </c>
      <c r="D199" s="159">
        <f t="shared" si="112"/>
        <v>48910.587</v>
      </c>
      <c r="E199" s="159">
        <f t="shared" si="112"/>
        <v>35642.5</v>
      </c>
      <c r="F199" s="159">
        <f t="shared" si="112"/>
        <v>48254.462</v>
      </c>
      <c r="G199" s="159">
        <f t="shared" si="112"/>
        <v>12611.962</v>
      </c>
      <c r="H199" s="160">
        <f t="shared" ref="H199:O199" si="113">H200+H210+H214</f>
        <v>0</v>
      </c>
      <c r="I199" s="160">
        <f t="shared" si="113"/>
        <v>0</v>
      </c>
      <c r="J199" s="159">
        <f t="shared" ref="J199:L199" si="114">+J200</f>
        <v>0</v>
      </c>
      <c r="K199" s="159">
        <f t="shared" si="114"/>
        <v>12611.962</v>
      </c>
      <c r="L199" s="159">
        <f t="shared" si="114"/>
        <v>0</v>
      </c>
      <c r="M199" s="159">
        <f t="shared" si="113"/>
        <v>16248.657999999999</v>
      </c>
      <c r="N199" s="159">
        <f>+N200</f>
        <v>12611.962</v>
      </c>
      <c r="O199" s="159">
        <f t="shared" si="113"/>
        <v>3636.6959999999999</v>
      </c>
    </row>
    <row r="200" spans="1:15" s="166" customFormat="1">
      <c r="A200" s="246" t="s">
        <v>414</v>
      </c>
      <c r="B200" s="200" t="s">
        <v>259</v>
      </c>
      <c r="C200" s="156">
        <f t="shared" ref="C200:O200" si="115">SUM(C201:C209)</f>
        <v>9</v>
      </c>
      <c r="D200" s="156">
        <f t="shared" si="115"/>
        <v>48910.587</v>
      </c>
      <c r="E200" s="156">
        <f t="shared" si="115"/>
        <v>35642.5</v>
      </c>
      <c r="F200" s="156">
        <f t="shared" si="115"/>
        <v>48254.462</v>
      </c>
      <c r="G200" s="156">
        <f t="shared" si="115"/>
        <v>12611.962</v>
      </c>
      <c r="H200" s="140">
        <f t="shared" si="115"/>
        <v>0</v>
      </c>
      <c r="I200" s="140">
        <f t="shared" si="115"/>
        <v>0</v>
      </c>
      <c r="J200" s="156">
        <f t="shared" si="115"/>
        <v>0</v>
      </c>
      <c r="K200" s="156">
        <f t="shared" si="115"/>
        <v>12611.962</v>
      </c>
      <c r="L200" s="156">
        <f t="shared" si="115"/>
        <v>0</v>
      </c>
      <c r="M200" s="156">
        <f t="shared" si="115"/>
        <v>12611.962</v>
      </c>
      <c r="N200" s="140">
        <f t="shared" si="115"/>
        <v>12611.962</v>
      </c>
      <c r="O200" s="140">
        <f t="shared" si="115"/>
        <v>0</v>
      </c>
    </row>
    <row r="201" spans="1:15" s="168" customFormat="1" ht="31.5" hidden="1">
      <c r="A201" s="153"/>
      <c r="B201" s="152" t="s">
        <v>258</v>
      </c>
      <c r="C201" s="162">
        <v>1</v>
      </c>
      <c r="D201" s="163">
        <v>5056.2749999999996</v>
      </c>
      <c r="E201" s="162">
        <v>4630</v>
      </c>
      <c r="F201" s="163">
        <v>5056.2749999999996</v>
      </c>
      <c r="G201" s="143">
        <f t="shared" ref="G201:G209" si="116">SUM(J201:L201)</f>
        <v>426.27499999999964</v>
      </c>
      <c r="H201" s="162"/>
      <c r="I201" s="162"/>
      <c r="J201" s="162"/>
      <c r="K201" s="162">
        <f>F201-E201</f>
        <v>426.27499999999964</v>
      </c>
      <c r="L201" s="163"/>
      <c r="M201" s="127">
        <f t="shared" ref="M201:M209" si="117">G201</f>
        <v>426.27499999999964</v>
      </c>
      <c r="N201" s="126">
        <f t="shared" ref="N201:N209" si="118">G201</f>
        <v>426.27499999999964</v>
      </c>
      <c r="O201" s="126"/>
    </row>
    <row r="202" spans="1:15" s="175" customFormat="1" ht="31.5" hidden="1">
      <c r="A202" s="182"/>
      <c r="B202" s="150" t="s">
        <v>257</v>
      </c>
      <c r="C202" s="178">
        <v>1</v>
      </c>
      <c r="D202" s="177">
        <v>3429.5590000000002</v>
      </c>
      <c r="E202" s="178">
        <v>3200</v>
      </c>
      <c r="F202" s="177">
        <f>3429.559</f>
        <v>3429.5590000000002</v>
      </c>
      <c r="G202" s="143">
        <f t="shared" si="116"/>
        <v>229.5590000000002</v>
      </c>
      <c r="H202" s="178"/>
      <c r="I202" s="178"/>
      <c r="J202" s="178"/>
      <c r="K202" s="178">
        <f>F202-E202</f>
        <v>229.5590000000002</v>
      </c>
      <c r="L202" s="177"/>
      <c r="M202" s="127">
        <f t="shared" si="117"/>
        <v>229.5590000000002</v>
      </c>
      <c r="N202" s="126">
        <f t="shared" si="118"/>
        <v>229.5590000000002</v>
      </c>
      <c r="O202" s="126"/>
    </row>
    <row r="203" spans="1:15" s="175" customFormat="1" ht="31.5" hidden="1">
      <c r="A203" s="182"/>
      <c r="B203" s="150" t="s">
        <v>256</v>
      </c>
      <c r="C203" s="178">
        <v>1</v>
      </c>
      <c r="D203" s="177">
        <v>3949.7530000000002</v>
      </c>
      <c r="E203" s="178">
        <v>3605</v>
      </c>
      <c r="F203" s="177">
        <v>3949.7530000000002</v>
      </c>
      <c r="G203" s="143">
        <f t="shared" si="116"/>
        <v>344.75300000000016</v>
      </c>
      <c r="H203" s="178"/>
      <c r="I203" s="178"/>
      <c r="J203" s="178"/>
      <c r="K203" s="178">
        <f>F203-E203</f>
        <v>344.75300000000016</v>
      </c>
      <c r="L203" s="177"/>
      <c r="M203" s="127">
        <f t="shared" si="117"/>
        <v>344.75300000000016</v>
      </c>
      <c r="N203" s="126">
        <f t="shared" si="118"/>
        <v>344.75300000000016</v>
      </c>
      <c r="O203" s="126"/>
    </row>
    <row r="204" spans="1:15" s="181" customFormat="1" hidden="1">
      <c r="A204" s="151"/>
      <c r="B204" s="150" t="s">
        <v>255</v>
      </c>
      <c r="C204" s="179">
        <v>1</v>
      </c>
      <c r="D204" s="176">
        <v>4847</v>
      </c>
      <c r="E204" s="179">
        <v>4235</v>
      </c>
      <c r="F204" s="179">
        <v>4735.893</v>
      </c>
      <c r="G204" s="143">
        <f t="shared" si="116"/>
        <v>500.89300000000003</v>
      </c>
      <c r="H204" s="179"/>
      <c r="I204" s="179"/>
      <c r="J204" s="179"/>
      <c r="K204" s="179">
        <f>F204-E204</f>
        <v>500.89300000000003</v>
      </c>
      <c r="L204" s="176"/>
      <c r="M204" s="127">
        <f t="shared" si="117"/>
        <v>500.89300000000003</v>
      </c>
      <c r="N204" s="126">
        <f t="shared" si="118"/>
        <v>500.89300000000003</v>
      </c>
      <c r="O204" s="126"/>
    </row>
    <row r="205" spans="1:15" s="181" customFormat="1" hidden="1">
      <c r="A205" s="151"/>
      <c r="B205" s="150" t="s">
        <v>254</v>
      </c>
      <c r="C205" s="179">
        <v>1</v>
      </c>
      <c r="D205" s="176">
        <v>1892</v>
      </c>
      <c r="E205" s="179">
        <v>1582.5</v>
      </c>
      <c r="F205" s="179">
        <v>1892</v>
      </c>
      <c r="G205" s="143">
        <f t="shared" si="116"/>
        <v>309.5</v>
      </c>
      <c r="H205" s="179"/>
      <c r="I205" s="179"/>
      <c r="J205" s="179"/>
      <c r="K205" s="179">
        <f>F205-E205</f>
        <v>309.5</v>
      </c>
      <c r="L205" s="176"/>
      <c r="M205" s="127">
        <f t="shared" si="117"/>
        <v>309.5</v>
      </c>
      <c r="N205" s="126">
        <f t="shared" si="118"/>
        <v>309.5</v>
      </c>
      <c r="O205" s="126"/>
    </row>
    <row r="206" spans="1:15" s="175" customFormat="1" ht="31.5" hidden="1">
      <c r="A206" s="151"/>
      <c r="B206" s="180" t="s">
        <v>253</v>
      </c>
      <c r="C206" s="178">
        <v>1</v>
      </c>
      <c r="D206" s="177">
        <v>8850</v>
      </c>
      <c r="E206" s="178">
        <v>6200</v>
      </c>
      <c r="F206" s="178">
        <v>8738.6260000000002</v>
      </c>
      <c r="G206" s="143">
        <f t="shared" si="116"/>
        <v>2538.6260000000002</v>
      </c>
      <c r="H206" s="178"/>
      <c r="I206" s="178"/>
      <c r="J206" s="178"/>
      <c r="K206" s="178">
        <f>F206-E206-J206</f>
        <v>2538.6260000000002</v>
      </c>
      <c r="L206" s="177">
        <v>0</v>
      </c>
      <c r="M206" s="127">
        <f t="shared" si="117"/>
        <v>2538.6260000000002</v>
      </c>
      <c r="N206" s="126">
        <f t="shared" si="118"/>
        <v>2538.6260000000002</v>
      </c>
      <c r="O206" s="126"/>
    </row>
    <row r="207" spans="1:15" s="175" customFormat="1" ht="31.5" hidden="1">
      <c r="A207" s="151"/>
      <c r="B207" s="180" t="s">
        <v>252</v>
      </c>
      <c r="C207" s="178">
        <v>1</v>
      </c>
      <c r="D207" s="177">
        <v>7036</v>
      </c>
      <c r="E207" s="178">
        <v>4900</v>
      </c>
      <c r="F207" s="178">
        <v>6840</v>
      </c>
      <c r="G207" s="143">
        <f t="shared" si="116"/>
        <v>1940</v>
      </c>
      <c r="H207" s="178"/>
      <c r="I207" s="178"/>
      <c r="J207" s="178">
        <v>0</v>
      </c>
      <c r="K207" s="178">
        <f>F207-E207</f>
        <v>1940</v>
      </c>
      <c r="L207" s="177">
        <v>0</v>
      </c>
      <c r="M207" s="127">
        <f t="shared" si="117"/>
        <v>1940</v>
      </c>
      <c r="N207" s="126">
        <f t="shared" si="118"/>
        <v>1940</v>
      </c>
      <c r="O207" s="126"/>
    </row>
    <row r="208" spans="1:15" s="181" customFormat="1" ht="31.5" hidden="1">
      <c r="A208" s="151"/>
      <c r="B208" s="150" t="s">
        <v>251</v>
      </c>
      <c r="C208" s="179">
        <v>1</v>
      </c>
      <c r="D208" s="176">
        <v>5000</v>
      </c>
      <c r="E208" s="179">
        <v>3290</v>
      </c>
      <c r="F208" s="179">
        <v>4830.3559999999998</v>
      </c>
      <c r="G208" s="143">
        <f t="shared" si="116"/>
        <v>1540.3559999999998</v>
      </c>
      <c r="H208" s="179"/>
      <c r="I208" s="179"/>
      <c r="J208" s="179"/>
      <c r="K208" s="178">
        <f>F208-E208</f>
        <v>1540.3559999999998</v>
      </c>
      <c r="L208" s="176"/>
      <c r="M208" s="127">
        <f t="shared" si="117"/>
        <v>1540.3559999999998</v>
      </c>
      <c r="N208" s="126">
        <f t="shared" si="118"/>
        <v>1540.3559999999998</v>
      </c>
      <c r="O208" s="126"/>
    </row>
    <row r="209" spans="1:15" s="181" customFormat="1" hidden="1">
      <c r="A209" s="151"/>
      <c r="B209" s="150" t="s">
        <v>250</v>
      </c>
      <c r="C209" s="179">
        <v>1</v>
      </c>
      <c r="D209" s="176">
        <v>8850</v>
      </c>
      <c r="E209" s="179">
        <v>4000</v>
      </c>
      <c r="F209" s="179">
        <v>8782</v>
      </c>
      <c r="G209" s="143">
        <f t="shared" si="116"/>
        <v>4782</v>
      </c>
      <c r="H209" s="179"/>
      <c r="I209" s="179"/>
      <c r="J209" s="179"/>
      <c r="K209" s="178">
        <f>F209-E209</f>
        <v>4782</v>
      </c>
      <c r="L209" s="176"/>
      <c r="M209" s="127">
        <f t="shared" si="117"/>
        <v>4782</v>
      </c>
      <c r="N209" s="126">
        <f t="shared" si="118"/>
        <v>4782</v>
      </c>
      <c r="O209" s="126"/>
    </row>
    <row r="210" spans="1:15" s="171" customFormat="1" ht="17.25" hidden="1">
      <c r="A210" s="135" t="s">
        <v>214</v>
      </c>
      <c r="B210" s="134" t="s">
        <v>249</v>
      </c>
      <c r="C210" s="140">
        <f t="shared" ref="C210:O210" si="119">SUM(C211:C213)</f>
        <v>3</v>
      </c>
      <c r="D210" s="140">
        <f t="shared" si="119"/>
        <v>11279</v>
      </c>
      <c r="E210" s="140">
        <f t="shared" si="119"/>
        <v>6850</v>
      </c>
      <c r="F210" s="140">
        <f t="shared" si="119"/>
        <v>10486.696</v>
      </c>
      <c r="G210" s="140">
        <f t="shared" si="119"/>
        <v>3636.6959999999999</v>
      </c>
      <c r="H210" s="140">
        <f t="shared" si="119"/>
        <v>0</v>
      </c>
      <c r="I210" s="140">
        <f t="shared" si="119"/>
        <v>0</v>
      </c>
      <c r="J210" s="140">
        <f t="shared" si="119"/>
        <v>0</v>
      </c>
      <c r="K210" s="140">
        <f t="shared" si="119"/>
        <v>3636.6959999999999</v>
      </c>
      <c r="L210" s="140">
        <f t="shared" si="119"/>
        <v>0</v>
      </c>
      <c r="M210" s="140">
        <f t="shared" si="119"/>
        <v>3636.6959999999999</v>
      </c>
      <c r="N210" s="140">
        <f t="shared" si="119"/>
        <v>0</v>
      </c>
      <c r="O210" s="140">
        <f t="shared" si="119"/>
        <v>3636.6959999999999</v>
      </c>
    </row>
    <row r="211" spans="1:15" s="175" customFormat="1" ht="31.5" hidden="1">
      <c r="A211" s="151"/>
      <c r="B211" s="180" t="s">
        <v>248</v>
      </c>
      <c r="C211" s="178">
        <v>1</v>
      </c>
      <c r="D211" s="177">
        <v>4579</v>
      </c>
      <c r="E211" s="178">
        <v>3200</v>
      </c>
      <c r="F211" s="178">
        <v>4546</v>
      </c>
      <c r="G211" s="179">
        <f>SUM(J211:L211)</f>
        <v>1346</v>
      </c>
      <c r="H211" s="178"/>
      <c r="I211" s="178"/>
      <c r="J211" s="178">
        <v>0</v>
      </c>
      <c r="K211" s="178">
        <f>F211-E211</f>
        <v>1346</v>
      </c>
      <c r="L211" s="177"/>
      <c r="M211" s="176">
        <f>G211</f>
        <v>1346</v>
      </c>
      <c r="N211" s="126"/>
      <c r="O211" s="126">
        <f>G211</f>
        <v>1346</v>
      </c>
    </row>
    <row r="212" spans="1:15" s="175" customFormat="1" hidden="1">
      <c r="A212" s="151"/>
      <c r="B212" s="180" t="s">
        <v>247</v>
      </c>
      <c r="C212" s="178">
        <v>1</v>
      </c>
      <c r="D212" s="177">
        <v>1700</v>
      </c>
      <c r="E212" s="178">
        <v>650</v>
      </c>
      <c r="F212" s="178">
        <v>1644.6959999999999</v>
      </c>
      <c r="G212" s="179">
        <f>SUM(J212:L212)</f>
        <v>994.69599999999991</v>
      </c>
      <c r="H212" s="178"/>
      <c r="I212" s="178"/>
      <c r="J212" s="178"/>
      <c r="K212" s="178">
        <f>F212-E212</f>
        <v>994.69599999999991</v>
      </c>
      <c r="L212" s="177"/>
      <c r="M212" s="176">
        <f>G212</f>
        <v>994.69599999999991</v>
      </c>
      <c r="N212" s="126"/>
      <c r="O212" s="126">
        <f>G212</f>
        <v>994.69599999999991</v>
      </c>
    </row>
    <row r="213" spans="1:15" s="175" customFormat="1" ht="31.5" hidden="1">
      <c r="A213" s="151"/>
      <c r="B213" s="180" t="s">
        <v>246</v>
      </c>
      <c r="C213" s="178">
        <v>1</v>
      </c>
      <c r="D213" s="177">
        <v>5000</v>
      </c>
      <c r="E213" s="178">
        <v>3000</v>
      </c>
      <c r="F213" s="178">
        <v>4296</v>
      </c>
      <c r="G213" s="179">
        <f>SUM(J213:L213)</f>
        <v>1296</v>
      </c>
      <c r="H213" s="178"/>
      <c r="I213" s="178"/>
      <c r="J213" s="178"/>
      <c r="K213" s="178">
        <f>F213-E213</f>
        <v>1296</v>
      </c>
      <c r="L213" s="177"/>
      <c r="M213" s="176">
        <f>G213</f>
        <v>1296</v>
      </c>
      <c r="N213" s="126"/>
      <c r="O213" s="126">
        <f>G213</f>
        <v>1296</v>
      </c>
    </row>
    <row r="214" spans="1:15" s="171" customFormat="1" ht="17.25" hidden="1">
      <c r="A214" s="135" t="s">
        <v>214</v>
      </c>
      <c r="B214" s="141" t="s">
        <v>212</v>
      </c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59"/>
      <c r="N214" s="126"/>
      <c r="O214" s="126"/>
    </row>
    <row r="215" spans="1:15" s="174" customFormat="1">
      <c r="A215" s="146">
        <v>17</v>
      </c>
      <c r="B215" s="145" t="s">
        <v>33</v>
      </c>
      <c r="C215" s="143">
        <f t="shared" ref="C215:G215" si="120">+C216</f>
        <v>3</v>
      </c>
      <c r="D215" s="143">
        <f t="shared" si="120"/>
        <v>7771.33</v>
      </c>
      <c r="E215" s="143">
        <f t="shared" si="120"/>
        <v>6552.15</v>
      </c>
      <c r="F215" s="143">
        <f t="shared" si="120"/>
        <v>7147.66</v>
      </c>
      <c r="G215" s="143">
        <f t="shared" si="120"/>
        <v>595.51</v>
      </c>
      <c r="H215" s="144">
        <f t="shared" ref="H215:O215" si="121">H216+H220+H223</f>
        <v>0</v>
      </c>
      <c r="I215" s="144">
        <f t="shared" si="121"/>
        <v>0</v>
      </c>
      <c r="J215" s="143">
        <f t="shared" ref="J215:L215" si="122">+J216</f>
        <v>0</v>
      </c>
      <c r="K215" s="143">
        <f t="shared" si="122"/>
        <v>595.51</v>
      </c>
      <c r="L215" s="143">
        <f t="shared" si="122"/>
        <v>0</v>
      </c>
      <c r="M215" s="143">
        <f t="shared" si="121"/>
        <v>12249.51</v>
      </c>
      <c r="N215" s="143">
        <f>+N216</f>
        <v>595.51</v>
      </c>
      <c r="O215" s="143">
        <f t="shared" si="121"/>
        <v>11654</v>
      </c>
    </row>
    <row r="216" spans="1:15">
      <c r="A216" s="158" t="s">
        <v>414</v>
      </c>
      <c r="B216" s="152" t="s">
        <v>215</v>
      </c>
      <c r="C216" s="156">
        <f t="shared" ref="C216:L216" si="123">SUM(C217:C219)</f>
        <v>3</v>
      </c>
      <c r="D216" s="156">
        <f t="shared" si="123"/>
        <v>7771.33</v>
      </c>
      <c r="E216" s="156">
        <f t="shared" si="123"/>
        <v>6552.15</v>
      </c>
      <c r="F216" s="156">
        <f t="shared" si="123"/>
        <v>7147.66</v>
      </c>
      <c r="G216" s="156">
        <f t="shared" si="123"/>
        <v>595.51</v>
      </c>
      <c r="H216" s="140">
        <f t="shared" si="123"/>
        <v>0</v>
      </c>
      <c r="I216" s="140">
        <f t="shared" si="123"/>
        <v>0</v>
      </c>
      <c r="J216" s="156">
        <f t="shared" si="123"/>
        <v>0</v>
      </c>
      <c r="K216" s="156">
        <f t="shared" si="123"/>
        <v>595.51</v>
      </c>
      <c r="L216" s="156">
        <f t="shared" si="123"/>
        <v>0</v>
      </c>
      <c r="M216" s="127">
        <f>G216</f>
        <v>595.51</v>
      </c>
      <c r="N216" s="127">
        <f>M216</f>
        <v>595.51</v>
      </c>
      <c r="O216" s="127"/>
    </row>
    <row r="217" spans="1:15" s="168" customFormat="1" hidden="1">
      <c r="A217" s="153"/>
      <c r="B217" s="152" t="s">
        <v>245</v>
      </c>
      <c r="C217" s="162">
        <v>1</v>
      </c>
      <c r="D217" s="163">
        <v>2769.11</v>
      </c>
      <c r="E217" s="162">
        <v>2276</v>
      </c>
      <c r="F217" s="162">
        <v>2513</v>
      </c>
      <c r="G217" s="156">
        <f>H217+I217+J217+K217+L217</f>
        <v>237</v>
      </c>
      <c r="H217" s="162"/>
      <c r="I217" s="162"/>
      <c r="J217" s="162"/>
      <c r="K217" s="162">
        <v>237</v>
      </c>
      <c r="L217" s="163"/>
      <c r="M217" s="127">
        <f>G217</f>
        <v>237</v>
      </c>
      <c r="N217" s="126">
        <f>M217</f>
        <v>237</v>
      </c>
      <c r="O217" s="126"/>
    </row>
    <row r="218" spans="1:15" s="168" customFormat="1" ht="62.25" hidden="1" customHeight="1">
      <c r="A218" s="153"/>
      <c r="B218" s="152" t="s">
        <v>244</v>
      </c>
      <c r="C218" s="162">
        <v>1</v>
      </c>
      <c r="D218" s="163">
        <v>773.38</v>
      </c>
      <c r="E218" s="162">
        <v>578.53</v>
      </c>
      <c r="F218" s="162">
        <v>697.99</v>
      </c>
      <c r="G218" s="156">
        <f>H218+I218+J218+K218+L218</f>
        <v>119.46</v>
      </c>
      <c r="H218" s="162"/>
      <c r="I218" s="162"/>
      <c r="J218" s="162"/>
      <c r="K218" s="162">
        <v>119.46</v>
      </c>
      <c r="L218" s="163"/>
      <c r="M218" s="127">
        <f>G218</f>
        <v>119.46</v>
      </c>
      <c r="N218" s="126">
        <f>M218</f>
        <v>119.46</v>
      </c>
      <c r="O218" s="126"/>
    </row>
    <row r="219" spans="1:15" s="168" customFormat="1" hidden="1">
      <c r="A219" s="153"/>
      <c r="B219" s="173" t="s">
        <v>243</v>
      </c>
      <c r="C219" s="162">
        <v>1</v>
      </c>
      <c r="D219" s="163">
        <v>4228.84</v>
      </c>
      <c r="E219" s="162">
        <v>3697.62</v>
      </c>
      <c r="F219" s="162">
        <v>3936.67</v>
      </c>
      <c r="G219" s="156">
        <f>H219+I219+J219+K219+L219</f>
        <v>239.05</v>
      </c>
      <c r="H219" s="162"/>
      <c r="I219" s="162"/>
      <c r="J219" s="162"/>
      <c r="K219" s="162">
        <v>239.05</v>
      </c>
      <c r="L219" s="163"/>
      <c r="M219" s="127">
        <f>G219</f>
        <v>239.05</v>
      </c>
      <c r="N219" s="126">
        <f>M219</f>
        <v>239.05</v>
      </c>
      <c r="O219" s="126"/>
    </row>
    <row r="220" spans="1:15" ht="31.5" hidden="1">
      <c r="A220" s="158" t="s">
        <v>214</v>
      </c>
      <c r="B220" s="172" t="s">
        <v>213</v>
      </c>
      <c r="C220" s="156">
        <f t="shared" ref="C220:O220" si="124">SUM(C221:C222)</f>
        <v>1</v>
      </c>
      <c r="D220" s="156">
        <f t="shared" si="124"/>
        <v>14649</v>
      </c>
      <c r="E220" s="156">
        <f t="shared" si="124"/>
        <v>10200</v>
      </c>
      <c r="F220" s="156">
        <f t="shared" si="124"/>
        <v>14500</v>
      </c>
      <c r="G220" s="156">
        <f t="shared" si="124"/>
        <v>4300</v>
      </c>
      <c r="H220" s="140">
        <f t="shared" si="124"/>
        <v>0</v>
      </c>
      <c r="I220" s="140">
        <f t="shared" si="124"/>
        <v>0</v>
      </c>
      <c r="J220" s="156">
        <f t="shared" si="124"/>
        <v>0</v>
      </c>
      <c r="K220" s="156">
        <f t="shared" si="124"/>
        <v>4300</v>
      </c>
      <c r="L220" s="156">
        <f t="shared" si="124"/>
        <v>0</v>
      </c>
      <c r="M220" s="156">
        <f t="shared" si="124"/>
        <v>4300</v>
      </c>
      <c r="N220" s="156">
        <f t="shared" si="124"/>
        <v>0</v>
      </c>
      <c r="O220" s="156">
        <f t="shared" si="124"/>
        <v>4300</v>
      </c>
    </row>
    <row r="221" spans="1:15" s="166" customFormat="1" hidden="1">
      <c r="A221" s="153"/>
      <c r="B221" s="167" t="s">
        <v>242</v>
      </c>
      <c r="C221" s="156">
        <v>1</v>
      </c>
      <c r="D221" s="127">
        <v>14649</v>
      </c>
      <c r="E221" s="156">
        <v>10200</v>
      </c>
      <c r="F221" s="156">
        <v>14500</v>
      </c>
      <c r="G221" s="156">
        <f>H221+I221+J221+K221+L221</f>
        <v>4300</v>
      </c>
      <c r="H221" s="156"/>
      <c r="I221" s="156"/>
      <c r="J221" s="156"/>
      <c r="K221" s="156">
        <f>F221-E221</f>
        <v>4300</v>
      </c>
      <c r="L221" s="127"/>
      <c r="M221" s="127">
        <f>G221</f>
        <v>4300</v>
      </c>
      <c r="N221" s="126"/>
      <c r="O221" s="126">
        <f>M221</f>
        <v>4300</v>
      </c>
    </row>
    <row r="222" spans="1:15" s="168" customFormat="1" hidden="1">
      <c r="A222" s="170"/>
      <c r="B222" s="167"/>
      <c r="C222" s="162"/>
      <c r="D222" s="163"/>
      <c r="E222" s="162"/>
      <c r="F222" s="162"/>
      <c r="G222" s="156"/>
      <c r="H222" s="162"/>
      <c r="I222" s="162"/>
      <c r="J222" s="162"/>
      <c r="K222" s="162"/>
      <c r="L222" s="163"/>
      <c r="M222" s="127">
        <f>G222</f>
        <v>0</v>
      </c>
      <c r="N222" s="126">
        <f>M222</f>
        <v>0</v>
      </c>
      <c r="O222" s="126">
        <f>M222</f>
        <v>0</v>
      </c>
    </row>
    <row r="223" spans="1:15" s="171" customFormat="1" ht="17.25" hidden="1">
      <c r="A223" s="135" t="s">
        <v>214</v>
      </c>
      <c r="B223" s="169" t="s">
        <v>226</v>
      </c>
      <c r="C223" s="140">
        <f t="shared" ref="C223:O223" si="125">SUM(C224:C226)</f>
        <v>3</v>
      </c>
      <c r="D223" s="140">
        <f t="shared" si="125"/>
        <v>21551</v>
      </c>
      <c r="E223" s="140">
        <f t="shared" si="125"/>
        <v>10841</v>
      </c>
      <c r="F223" s="140">
        <f t="shared" si="125"/>
        <v>18195</v>
      </c>
      <c r="G223" s="140">
        <f t="shared" si="125"/>
        <v>7354</v>
      </c>
      <c r="H223" s="140">
        <f t="shared" si="125"/>
        <v>0</v>
      </c>
      <c r="I223" s="140">
        <f t="shared" si="125"/>
        <v>0</v>
      </c>
      <c r="J223" s="140">
        <f t="shared" si="125"/>
        <v>0</v>
      </c>
      <c r="K223" s="140">
        <f t="shared" si="125"/>
        <v>7354</v>
      </c>
      <c r="L223" s="140">
        <f t="shared" si="125"/>
        <v>0</v>
      </c>
      <c r="M223" s="140">
        <f t="shared" si="125"/>
        <v>7354</v>
      </c>
      <c r="N223" s="140">
        <f t="shared" si="125"/>
        <v>0</v>
      </c>
      <c r="O223" s="140">
        <f t="shared" si="125"/>
        <v>7354</v>
      </c>
    </row>
    <row r="224" spans="1:15" s="166" customFormat="1" ht="31.5" hidden="1">
      <c r="A224" s="153"/>
      <c r="B224" s="167" t="s">
        <v>241</v>
      </c>
      <c r="C224" s="156">
        <v>1</v>
      </c>
      <c r="D224" s="127">
        <v>14689</v>
      </c>
      <c r="E224" s="156">
        <v>9241</v>
      </c>
      <c r="F224" s="156">
        <v>13995</v>
      </c>
      <c r="G224" s="156">
        <f>H224+I224+J224+K224+L224</f>
        <v>4754</v>
      </c>
      <c r="H224" s="156"/>
      <c r="I224" s="156"/>
      <c r="J224" s="156"/>
      <c r="K224" s="156">
        <f>F224-E224</f>
        <v>4754</v>
      </c>
      <c r="L224" s="127"/>
      <c r="M224" s="127">
        <f>G224</f>
        <v>4754</v>
      </c>
      <c r="N224" s="126"/>
      <c r="O224" s="126">
        <f>M224</f>
        <v>4754</v>
      </c>
    </row>
    <row r="225" spans="1:15" s="166" customFormat="1" ht="31.5" hidden="1">
      <c r="A225" s="153"/>
      <c r="B225" s="167" t="s">
        <v>240</v>
      </c>
      <c r="C225" s="156">
        <v>1</v>
      </c>
      <c r="D225" s="127">
        <v>5863</v>
      </c>
      <c r="E225" s="156">
        <v>1600</v>
      </c>
      <c r="F225" s="156">
        <v>3500</v>
      </c>
      <c r="G225" s="156">
        <f>H225+I225+J225+K225+L225</f>
        <v>1900</v>
      </c>
      <c r="H225" s="156"/>
      <c r="I225" s="156"/>
      <c r="J225" s="156"/>
      <c r="K225" s="156">
        <f>F225-E225</f>
        <v>1900</v>
      </c>
      <c r="L225" s="127"/>
      <c r="M225" s="127">
        <f>G225</f>
        <v>1900</v>
      </c>
      <c r="N225" s="126"/>
      <c r="O225" s="126">
        <f>M225</f>
        <v>1900</v>
      </c>
    </row>
    <row r="226" spans="1:15" s="166" customFormat="1" ht="31.5" hidden="1">
      <c r="A226" s="153"/>
      <c r="B226" s="167" t="s">
        <v>239</v>
      </c>
      <c r="C226" s="156">
        <v>1</v>
      </c>
      <c r="D226" s="127">
        <v>999</v>
      </c>
      <c r="E226" s="156"/>
      <c r="F226" s="156">
        <v>700</v>
      </c>
      <c r="G226" s="156">
        <f>H226+I226+J226+K226+L226</f>
        <v>700</v>
      </c>
      <c r="H226" s="156"/>
      <c r="I226" s="156"/>
      <c r="J226" s="156"/>
      <c r="K226" s="156">
        <f>F226-E226</f>
        <v>700</v>
      </c>
      <c r="L226" s="127"/>
      <c r="M226" s="127">
        <f>G226</f>
        <v>700</v>
      </c>
      <c r="N226" s="126"/>
      <c r="O226" s="126">
        <f>M226</f>
        <v>700</v>
      </c>
    </row>
    <row r="227" spans="1:15" s="142" customFormat="1">
      <c r="A227" s="146">
        <v>18</v>
      </c>
      <c r="B227" s="145" t="s">
        <v>32</v>
      </c>
      <c r="C227" s="143">
        <f t="shared" ref="C227:G227" si="126">+C228</f>
        <v>9</v>
      </c>
      <c r="D227" s="143">
        <f t="shared" si="126"/>
        <v>37973.108999999997</v>
      </c>
      <c r="E227" s="143">
        <f t="shared" si="126"/>
        <v>30018</v>
      </c>
      <c r="F227" s="143">
        <f t="shared" si="126"/>
        <v>36529.334000000003</v>
      </c>
      <c r="G227" s="143">
        <f t="shared" si="126"/>
        <v>6511.3340000000007</v>
      </c>
      <c r="H227" s="144">
        <f t="shared" ref="H227:O227" si="127">H228+H238+H241</f>
        <v>0</v>
      </c>
      <c r="I227" s="144">
        <f t="shared" si="127"/>
        <v>0</v>
      </c>
      <c r="J227" s="143">
        <f t="shared" ref="J227:L227" si="128">+J228</f>
        <v>0</v>
      </c>
      <c r="K227" s="143">
        <f t="shared" si="128"/>
        <v>6511.3340000000007</v>
      </c>
      <c r="L227" s="143">
        <f t="shared" si="128"/>
        <v>0</v>
      </c>
      <c r="M227" s="143">
        <f t="shared" si="127"/>
        <v>9028.3340000000007</v>
      </c>
      <c r="N227" s="143">
        <f>+N228</f>
        <v>6511.3340000000007</v>
      </c>
      <c r="O227" s="143">
        <f t="shared" si="127"/>
        <v>2517</v>
      </c>
    </row>
    <row r="228" spans="1:15">
      <c r="A228" s="158" t="s">
        <v>414</v>
      </c>
      <c r="B228" s="152" t="s">
        <v>215</v>
      </c>
      <c r="C228" s="156">
        <f t="shared" ref="C228:L228" si="129">SUM(C229:C237)</f>
        <v>9</v>
      </c>
      <c r="D228" s="156">
        <f t="shared" si="129"/>
        <v>37973.108999999997</v>
      </c>
      <c r="E228" s="156">
        <f t="shared" si="129"/>
        <v>30018</v>
      </c>
      <c r="F228" s="156">
        <f t="shared" si="129"/>
        <v>36529.334000000003</v>
      </c>
      <c r="G228" s="156">
        <f t="shared" si="129"/>
        <v>6511.3340000000007</v>
      </c>
      <c r="H228" s="140">
        <f t="shared" si="129"/>
        <v>0</v>
      </c>
      <c r="I228" s="140">
        <f t="shared" si="129"/>
        <v>0</v>
      </c>
      <c r="J228" s="156">
        <f t="shared" si="129"/>
        <v>0</v>
      </c>
      <c r="K228" s="156">
        <f t="shared" si="129"/>
        <v>6511.3340000000007</v>
      </c>
      <c r="L228" s="156">
        <f t="shared" si="129"/>
        <v>0</v>
      </c>
      <c r="M228" s="127">
        <f t="shared" ref="M228:M237" si="130">G228</f>
        <v>6511.3340000000007</v>
      </c>
      <c r="N228" s="127">
        <f t="shared" ref="N228:N237" si="131">M228</f>
        <v>6511.3340000000007</v>
      </c>
      <c r="O228" s="127"/>
    </row>
    <row r="229" spans="1:15" s="168" customFormat="1" hidden="1">
      <c r="A229" s="170"/>
      <c r="B229" s="164" t="s">
        <v>238</v>
      </c>
      <c r="C229" s="162">
        <v>1</v>
      </c>
      <c r="D229" s="163">
        <v>133</v>
      </c>
      <c r="E229" s="162">
        <v>50</v>
      </c>
      <c r="F229" s="162">
        <v>133</v>
      </c>
      <c r="G229" s="156">
        <f t="shared" ref="G229:G237" si="132">SUM(J229:L229)</f>
        <v>83</v>
      </c>
      <c r="H229" s="162"/>
      <c r="I229" s="162"/>
      <c r="J229" s="162"/>
      <c r="K229" s="162">
        <f t="shared" ref="K229:K237" si="133">F229-E229</f>
        <v>83</v>
      </c>
      <c r="L229" s="163"/>
      <c r="M229" s="127">
        <f t="shared" si="130"/>
        <v>83</v>
      </c>
      <c r="N229" s="126">
        <f t="shared" si="131"/>
        <v>83</v>
      </c>
      <c r="O229" s="126"/>
    </row>
    <row r="230" spans="1:15" s="168" customFormat="1" hidden="1">
      <c r="A230" s="170"/>
      <c r="B230" s="164" t="s">
        <v>237</v>
      </c>
      <c r="C230" s="162">
        <v>1</v>
      </c>
      <c r="D230" s="163">
        <v>227.93799999999999</v>
      </c>
      <c r="E230" s="162">
        <v>60</v>
      </c>
      <c r="F230" s="162">
        <v>227.93799999999999</v>
      </c>
      <c r="G230" s="156">
        <f t="shared" si="132"/>
        <v>167.93799999999999</v>
      </c>
      <c r="H230" s="162"/>
      <c r="I230" s="162"/>
      <c r="J230" s="162"/>
      <c r="K230" s="162">
        <f t="shared" si="133"/>
        <v>167.93799999999999</v>
      </c>
      <c r="L230" s="163"/>
      <c r="M230" s="127">
        <f t="shared" si="130"/>
        <v>167.93799999999999</v>
      </c>
      <c r="N230" s="126">
        <f t="shared" si="131"/>
        <v>167.93799999999999</v>
      </c>
      <c r="O230" s="126"/>
    </row>
    <row r="231" spans="1:15" s="168" customFormat="1" hidden="1">
      <c r="A231" s="170"/>
      <c r="B231" s="164" t="s">
        <v>236</v>
      </c>
      <c r="C231" s="162">
        <v>1</v>
      </c>
      <c r="D231" s="163">
        <v>4892.0240000000003</v>
      </c>
      <c r="E231" s="162">
        <v>4525</v>
      </c>
      <c r="F231" s="162">
        <v>4804.7330000000002</v>
      </c>
      <c r="G231" s="156">
        <f t="shared" si="132"/>
        <v>279.73300000000017</v>
      </c>
      <c r="H231" s="162"/>
      <c r="I231" s="162"/>
      <c r="J231" s="162"/>
      <c r="K231" s="162">
        <f t="shared" si="133"/>
        <v>279.73300000000017</v>
      </c>
      <c r="L231" s="163"/>
      <c r="M231" s="127">
        <f t="shared" si="130"/>
        <v>279.73300000000017</v>
      </c>
      <c r="N231" s="126">
        <f t="shared" si="131"/>
        <v>279.73300000000017</v>
      </c>
      <c r="O231" s="126"/>
    </row>
    <row r="232" spans="1:15" s="168" customFormat="1" hidden="1">
      <c r="A232" s="170"/>
      <c r="B232" s="164" t="s">
        <v>235</v>
      </c>
      <c r="C232" s="162">
        <v>1</v>
      </c>
      <c r="D232" s="163">
        <v>828.51</v>
      </c>
      <c r="E232" s="162">
        <v>712</v>
      </c>
      <c r="F232" s="162">
        <v>788.51</v>
      </c>
      <c r="G232" s="156">
        <f t="shared" si="132"/>
        <v>76.509999999999991</v>
      </c>
      <c r="H232" s="162"/>
      <c r="I232" s="162"/>
      <c r="J232" s="162"/>
      <c r="K232" s="162">
        <f t="shared" si="133"/>
        <v>76.509999999999991</v>
      </c>
      <c r="L232" s="163"/>
      <c r="M232" s="127">
        <f t="shared" si="130"/>
        <v>76.509999999999991</v>
      </c>
      <c r="N232" s="126">
        <f t="shared" si="131"/>
        <v>76.509999999999991</v>
      </c>
      <c r="O232" s="126"/>
    </row>
    <row r="233" spans="1:15" s="168" customFormat="1" hidden="1">
      <c r="A233" s="170"/>
      <c r="B233" s="164" t="s">
        <v>234</v>
      </c>
      <c r="C233" s="162">
        <v>1</v>
      </c>
      <c r="D233" s="163">
        <v>485.64</v>
      </c>
      <c r="E233" s="162">
        <v>431</v>
      </c>
      <c r="F233" s="162">
        <v>461</v>
      </c>
      <c r="G233" s="156">
        <f t="shared" si="132"/>
        <v>30</v>
      </c>
      <c r="H233" s="162"/>
      <c r="I233" s="162"/>
      <c r="J233" s="162"/>
      <c r="K233" s="162">
        <f t="shared" si="133"/>
        <v>30</v>
      </c>
      <c r="L233" s="163"/>
      <c r="M233" s="127">
        <f t="shared" si="130"/>
        <v>30</v>
      </c>
      <c r="N233" s="126">
        <f t="shared" si="131"/>
        <v>30</v>
      </c>
      <c r="O233" s="126"/>
    </row>
    <row r="234" spans="1:15" s="168" customFormat="1" ht="35.25" hidden="1" customHeight="1">
      <c r="A234" s="170"/>
      <c r="B234" s="164" t="s">
        <v>233</v>
      </c>
      <c r="C234" s="162">
        <v>1</v>
      </c>
      <c r="D234" s="163">
        <v>13618.996999999999</v>
      </c>
      <c r="E234" s="162">
        <v>12750</v>
      </c>
      <c r="F234" s="162">
        <v>12837.153</v>
      </c>
      <c r="G234" s="156">
        <f t="shared" si="132"/>
        <v>87.153000000000247</v>
      </c>
      <c r="H234" s="162"/>
      <c r="I234" s="162"/>
      <c r="J234" s="162"/>
      <c r="K234" s="162">
        <f t="shared" si="133"/>
        <v>87.153000000000247</v>
      </c>
      <c r="L234" s="163"/>
      <c r="M234" s="127">
        <f t="shared" si="130"/>
        <v>87.153000000000247</v>
      </c>
      <c r="N234" s="126">
        <f t="shared" si="131"/>
        <v>87.153000000000247</v>
      </c>
      <c r="O234" s="126"/>
    </row>
    <row r="235" spans="1:15" s="168" customFormat="1" hidden="1">
      <c r="A235" s="153"/>
      <c r="B235" s="152" t="s">
        <v>232</v>
      </c>
      <c r="C235" s="162">
        <v>1</v>
      </c>
      <c r="D235" s="163">
        <v>1142</v>
      </c>
      <c r="E235" s="162">
        <v>0</v>
      </c>
      <c r="F235" s="162">
        <v>892</v>
      </c>
      <c r="G235" s="156">
        <f t="shared" si="132"/>
        <v>892</v>
      </c>
      <c r="H235" s="162"/>
      <c r="I235" s="162"/>
      <c r="J235" s="162"/>
      <c r="K235" s="162">
        <f t="shared" si="133"/>
        <v>892</v>
      </c>
      <c r="L235" s="163"/>
      <c r="M235" s="127">
        <f t="shared" si="130"/>
        <v>892</v>
      </c>
      <c r="N235" s="126">
        <f t="shared" si="131"/>
        <v>892</v>
      </c>
      <c r="O235" s="126"/>
    </row>
    <row r="236" spans="1:15" s="168" customFormat="1" hidden="1">
      <c r="A236" s="170"/>
      <c r="B236" s="164" t="s">
        <v>231</v>
      </c>
      <c r="C236" s="162">
        <v>1</v>
      </c>
      <c r="D236" s="163">
        <v>14499</v>
      </c>
      <c r="E236" s="162">
        <v>10490</v>
      </c>
      <c r="F236" s="162">
        <v>14375</v>
      </c>
      <c r="G236" s="156">
        <f t="shared" si="132"/>
        <v>3885</v>
      </c>
      <c r="H236" s="162"/>
      <c r="I236" s="162"/>
      <c r="J236" s="162"/>
      <c r="K236" s="162">
        <f t="shared" si="133"/>
        <v>3885</v>
      </c>
      <c r="L236" s="163"/>
      <c r="M236" s="127">
        <f t="shared" si="130"/>
        <v>3885</v>
      </c>
      <c r="N236" s="126">
        <f t="shared" si="131"/>
        <v>3885</v>
      </c>
      <c r="O236" s="126"/>
    </row>
    <row r="237" spans="1:15" s="168" customFormat="1" hidden="1">
      <c r="A237" s="170"/>
      <c r="B237" s="164" t="s">
        <v>230</v>
      </c>
      <c r="C237" s="162">
        <v>1</v>
      </c>
      <c r="D237" s="163">
        <v>2146</v>
      </c>
      <c r="E237" s="162">
        <v>1000</v>
      </c>
      <c r="F237" s="162">
        <v>2010</v>
      </c>
      <c r="G237" s="156">
        <f t="shared" si="132"/>
        <v>1010</v>
      </c>
      <c r="H237" s="162"/>
      <c r="I237" s="162"/>
      <c r="J237" s="162"/>
      <c r="K237" s="162">
        <f t="shared" si="133"/>
        <v>1010</v>
      </c>
      <c r="L237" s="163"/>
      <c r="M237" s="127">
        <f t="shared" si="130"/>
        <v>1010</v>
      </c>
      <c r="N237" s="126">
        <f t="shared" si="131"/>
        <v>1010</v>
      </c>
      <c r="O237" s="126"/>
    </row>
    <row r="238" spans="1:15" ht="31.5" hidden="1">
      <c r="A238" s="158" t="s">
        <v>214</v>
      </c>
      <c r="B238" s="152" t="s">
        <v>229</v>
      </c>
      <c r="C238" s="156">
        <f t="shared" ref="C238:O238" si="134">SUM(C239:C240)</f>
        <v>2</v>
      </c>
      <c r="D238" s="156">
        <f t="shared" si="134"/>
        <v>14885</v>
      </c>
      <c r="E238" s="156">
        <f t="shared" si="134"/>
        <v>11860</v>
      </c>
      <c r="F238" s="156">
        <f t="shared" si="134"/>
        <v>13050</v>
      </c>
      <c r="G238" s="156">
        <f t="shared" si="134"/>
        <v>1190</v>
      </c>
      <c r="H238" s="140">
        <f t="shared" si="134"/>
        <v>0</v>
      </c>
      <c r="I238" s="140">
        <f t="shared" si="134"/>
        <v>0</v>
      </c>
      <c r="J238" s="156">
        <f t="shared" si="134"/>
        <v>0</v>
      </c>
      <c r="K238" s="156">
        <f t="shared" si="134"/>
        <v>1190</v>
      </c>
      <c r="L238" s="156">
        <f t="shared" si="134"/>
        <v>0</v>
      </c>
      <c r="M238" s="156">
        <f t="shared" si="134"/>
        <v>1190</v>
      </c>
      <c r="N238" s="156">
        <f t="shared" si="134"/>
        <v>0</v>
      </c>
      <c r="O238" s="156">
        <f t="shared" si="134"/>
        <v>1190</v>
      </c>
    </row>
    <row r="239" spans="1:15" s="166" customFormat="1" ht="31.5" hidden="1">
      <c r="A239" s="153"/>
      <c r="B239" s="152" t="s">
        <v>228</v>
      </c>
      <c r="C239" s="156">
        <v>1</v>
      </c>
      <c r="D239" s="127">
        <v>14061</v>
      </c>
      <c r="E239" s="156">
        <v>11650</v>
      </c>
      <c r="F239" s="156">
        <v>12500</v>
      </c>
      <c r="G239" s="156">
        <f>SUM(J239:L239)</f>
        <v>850</v>
      </c>
      <c r="H239" s="156"/>
      <c r="I239" s="156"/>
      <c r="J239" s="156"/>
      <c r="K239" s="162">
        <f>F239-E239</f>
        <v>850</v>
      </c>
      <c r="L239" s="127"/>
      <c r="M239" s="127">
        <f t="shared" ref="M239:M244" si="135">G239</f>
        <v>850</v>
      </c>
      <c r="N239" s="127"/>
      <c r="O239" s="127">
        <f>G239</f>
        <v>850</v>
      </c>
    </row>
    <row r="240" spans="1:15" s="166" customFormat="1" hidden="1">
      <c r="A240" s="153"/>
      <c r="B240" s="152" t="s">
        <v>227</v>
      </c>
      <c r="C240" s="156">
        <v>1</v>
      </c>
      <c r="D240" s="127">
        <v>824</v>
      </c>
      <c r="E240" s="156">
        <v>210</v>
      </c>
      <c r="F240" s="156">
        <v>550</v>
      </c>
      <c r="G240" s="156">
        <f>SUM(J240:L240)</f>
        <v>340</v>
      </c>
      <c r="H240" s="156"/>
      <c r="I240" s="156"/>
      <c r="J240" s="156"/>
      <c r="K240" s="162">
        <f>F240-E240</f>
        <v>340</v>
      </c>
      <c r="L240" s="127"/>
      <c r="M240" s="127">
        <f t="shared" si="135"/>
        <v>340</v>
      </c>
      <c r="N240" s="127"/>
      <c r="O240" s="127">
        <f>G240</f>
        <v>340</v>
      </c>
    </row>
    <row r="241" spans="1:15" s="168" customFormat="1" hidden="1">
      <c r="A241" s="135" t="s">
        <v>214</v>
      </c>
      <c r="B241" s="169" t="s">
        <v>226</v>
      </c>
      <c r="C241" s="140">
        <f t="shared" ref="C241:L241" si="136">SUM(C242:C244)</f>
        <v>3</v>
      </c>
      <c r="D241" s="140">
        <f t="shared" si="136"/>
        <v>26012</v>
      </c>
      <c r="E241" s="140">
        <f t="shared" si="136"/>
        <v>5773</v>
      </c>
      <c r="F241" s="140">
        <f t="shared" si="136"/>
        <v>7100</v>
      </c>
      <c r="G241" s="140">
        <f t="shared" si="136"/>
        <v>1327</v>
      </c>
      <c r="H241" s="140">
        <f t="shared" si="136"/>
        <v>0</v>
      </c>
      <c r="I241" s="140">
        <f t="shared" si="136"/>
        <v>0</v>
      </c>
      <c r="J241" s="140">
        <f t="shared" si="136"/>
        <v>0</v>
      </c>
      <c r="K241" s="140">
        <f t="shared" si="136"/>
        <v>1327</v>
      </c>
      <c r="L241" s="140">
        <f t="shared" si="136"/>
        <v>0</v>
      </c>
      <c r="M241" s="127">
        <f t="shared" si="135"/>
        <v>1327</v>
      </c>
      <c r="N241" s="140">
        <f>SUM(N242:N244)</f>
        <v>0</v>
      </c>
      <c r="O241" s="140">
        <f>SUM(O242:O244)</f>
        <v>1327</v>
      </c>
    </row>
    <row r="242" spans="1:15" s="166" customFormat="1" ht="31.5" hidden="1">
      <c r="A242" s="153"/>
      <c r="B242" s="167" t="s">
        <v>225</v>
      </c>
      <c r="C242" s="156">
        <v>1</v>
      </c>
      <c r="D242" s="127">
        <v>14944</v>
      </c>
      <c r="E242" s="156">
        <v>3510</v>
      </c>
      <c r="F242" s="156">
        <v>3750</v>
      </c>
      <c r="G242" s="156">
        <f>SUM(J242:L242)</f>
        <v>240</v>
      </c>
      <c r="H242" s="156"/>
      <c r="I242" s="156"/>
      <c r="J242" s="156"/>
      <c r="K242" s="162">
        <f>F242-E242</f>
        <v>240</v>
      </c>
      <c r="L242" s="127"/>
      <c r="M242" s="127">
        <f t="shared" si="135"/>
        <v>240</v>
      </c>
      <c r="N242" s="127"/>
      <c r="O242" s="127">
        <f>G242</f>
        <v>240</v>
      </c>
    </row>
    <row r="243" spans="1:15" s="166" customFormat="1" ht="31.5" hidden="1">
      <c r="A243" s="153"/>
      <c r="B243" s="167" t="s">
        <v>224</v>
      </c>
      <c r="C243" s="156">
        <v>1</v>
      </c>
      <c r="D243" s="127">
        <v>10118</v>
      </c>
      <c r="E243" s="156">
        <v>2263</v>
      </c>
      <c r="F243" s="156">
        <v>2500</v>
      </c>
      <c r="G243" s="156">
        <f>SUM(J243:L243)</f>
        <v>237</v>
      </c>
      <c r="H243" s="156"/>
      <c r="I243" s="156"/>
      <c r="J243" s="156"/>
      <c r="K243" s="162">
        <f>F243-E243</f>
        <v>237</v>
      </c>
      <c r="L243" s="127"/>
      <c r="M243" s="127">
        <f t="shared" si="135"/>
        <v>237</v>
      </c>
      <c r="N243" s="127"/>
      <c r="O243" s="127">
        <f>G243</f>
        <v>237</v>
      </c>
    </row>
    <row r="244" spans="1:15" s="166" customFormat="1" ht="31.5" hidden="1">
      <c r="A244" s="153"/>
      <c r="B244" s="167" t="s">
        <v>223</v>
      </c>
      <c r="C244" s="156">
        <v>1</v>
      </c>
      <c r="D244" s="127">
        <v>950</v>
      </c>
      <c r="E244" s="156"/>
      <c r="F244" s="156">
        <v>850</v>
      </c>
      <c r="G244" s="156">
        <f>SUM(J244:L244)</f>
        <v>850</v>
      </c>
      <c r="H244" s="156"/>
      <c r="I244" s="156"/>
      <c r="J244" s="156"/>
      <c r="K244" s="162">
        <f>F244-E244</f>
        <v>850</v>
      </c>
      <c r="L244" s="127"/>
      <c r="M244" s="127">
        <f t="shared" si="135"/>
        <v>850</v>
      </c>
      <c r="N244" s="127"/>
      <c r="O244" s="127">
        <f>G244</f>
        <v>850</v>
      </c>
    </row>
    <row r="245" spans="1:15" s="142" customFormat="1" ht="34.5" customHeight="1">
      <c r="A245" s="146">
        <v>19</v>
      </c>
      <c r="B245" s="165" t="s">
        <v>31</v>
      </c>
      <c r="C245" s="143">
        <f t="shared" ref="C245:G245" si="137">+C246</f>
        <v>0</v>
      </c>
      <c r="D245" s="143">
        <f t="shared" si="137"/>
        <v>0</v>
      </c>
      <c r="E245" s="143">
        <f t="shared" si="137"/>
        <v>0</v>
      </c>
      <c r="F245" s="143">
        <f t="shared" si="137"/>
        <v>0</v>
      </c>
      <c r="G245" s="143">
        <f t="shared" si="137"/>
        <v>0</v>
      </c>
      <c r="H245" s="144">
        <f t="shared" ref="H245:O245" si="138">H246+H247+H253</f>
        <v>0</v>
      </c>
      <c r="I245" s="144">
        <f t="shared" si="138"/>
        <v>0</v>
      </c>
      <c r="J245" s="143">
        <f t="shared" ref="J245:L245" si="139">+J246</f>
        <v>0</v>
      </c>
      <c r="K245" s="143">
        <f t="shared" si="139"/>
        <v>0</v>
      </c>
      <c r="L245" s="143">
        <f t="shared" si="139"/>
        <v>0</v>
      </c>
      <c r="M245" s="143">
        <f t="shared" si="138"/>
        <v>941</v>
      </c>
      <c r="N245" s="143">
        <f>+N246</f>
        <v>0</v>
      </c>
      <c r="O245" s="143">
        <f t="shared" si="138"/>
        <v>941</v>
      </c>
    </row>
    <row r="246" spans="1:15" ht="26.25" customHeight="1">
      <c r="A246" s="158" t="s">
        <v>414</v>
      </c>
      <c r="B246" s="164" t="s">
        <v>215</v>
      </c>
      <c r="C246" s="156"/>
      <c r="D246" s="156"/>
      <c r="E246" s="156"/>
      <c r="F246" s="156"/>
      <c r="G246" s="156"/>
      <c r="H246" s="140"/>
      <c r="I246" s="140"/>
      <c r="J246" s="156"/>
      <c r="K246" s="156"/>
      <c r="L246" s="156"/>
      <c r="M246" s="127"/>
      <c r="N246" s="127">
        <f>M246</f>
        <v>0</v>
      </c>
      <c r="O246" s="127"/>
    </row>
    <row r="247" spans="1:15" ht="54.75" hidden="1" customHeight="1">
      <c r="A247" s="158" t="s">
        <v>214</v>
      </c>
      <c r="B247" s="164" t="s">
        <v>213</v>
      </c>
      <c r="C247" s="156">
        <f t="shared" ref="C247:O247" si="140">SUM(C248:C252)</f>
        <v>5</v>
      </c>
      <c r="D247" s="156">
        <f t="shared" si="140"/>
        <v>45741</v>
      </c>
      <c r="E247" s="156">
        <f t="shared" si="140"/>
        <v>31540</v>
      </c>
      <c r="F247" s="156">
        <f t="shared" si="140"/>
        <v>32481</v>
      </c>
      <c r="G247" s="156">
        <f t="shared" si="140"/>
        <v>941</v>
      </c>
      <c r="H247" s="162">
        <f t="shared" si="140"/>
        <v>0</v>
      </c>
      <c r="I247" s="162">
        <f t="shared" si="140"/>
        <v>0</v>
      </c>
      <c r="J247" s="156">
        <f t="shared" si="140"/>
        <v>0</v>
      </c>
      <c r="K247" s="156">
        <f t="shared" si="140"/>
        <v>941</v>
      </c>
      <c r="L247" s="156">
        <f t="shared" si="140"/>
        <v>0</v>
      </c>
      <c r="M247" s="156">
        <f t="shared" si="140"/>
        <v>941</v>
      </c>
      <c r="N247" s="156">
        <f t="shared" si="140"/>
        <v>0</v>
      </c>
      <c r="O247" s="156">
        <f t="shared" si="140"/>
        <v>941</v>
      </c>
    </row>
    <row r="248" spans="1:15" ht="67.5" hidden="1" customHeight="1">
      <c r="A248" s="153"/>
      <c r="B248" s="164" t="s">
        <v>222</v>
      </c>
      <c r="C248" s="156">
        <v>1</v>
      </c>
      <c r="D248" s="127">
        <v>5200</v>
      </c>
      <c r="E248" s="156">
        <v>4800</v>
      </c>
      <c r="F248" s="156">
        <v>5190</v>
      </c>
      <c r="G248" s="156">
        <f>SUM(J248:L248)</f>
        <v>390</v>
      </c>
      <c r="H248" s="156"/>
      <c r="I248" s="156"/>
      <c r="J248" s="156"/>
      <c r="K248" s="156">
        <f>F248-E248</f>
        <v>390</v>
      </c>
      <c r="L248" s="127"/>
      <c r="M248" s="127">
        <f t="shared" ref="M248:M253" si="141">G248</f>
        <v>390</v>
      </c>
      <c r="N248" s="126"/>
      <c r="O248" s="126">
        <f t="shared" ref="O248:O253" si="142">M248</f>
        <v>390</v>
      </c>
    </row>
    <row r="249" spans="1:15" hidden="1">
      <c r="A249" s="153"/>
      <c r="B249" s="164" t="s">
        <v>221</v>
      </c>
      <c r="C249" s="156">
        <v>1</v>
      </c>
      <c r="D249" s="127">
        <v>14935</v>
      </c>
      <c r="E249" s="156">
        <v>8800</v>
      </c>
      <c r="F249" s="156">
        <v>8800</v>
      </c>
      <c r="G249" s="156">
        <f>SUM(J249:L249)</f>
        <v>0</v>
      </c>
      <c r="H249" s="156"/>
      <c r="I249" s="156"/>
      <c r="J249" s="156"/>
      <c r="K249" s="156">
        <f>F249-E249</f>
        <v>0</v>
      </c>
      <c r="L249" s="127"/>
      <c r="M249" s="127">
        <f t="shared" si="141"/>
        <v>0</v>
      </c>
      <c r="N249" s="126"/>
      <c r="O249" s="126">
        <f t="shared" si="142"/>
        <v>0</v>
      </c>
    </row>
    <row r="250" spans="1:15" hidden="1">
      <c r="A250" s="153"/>
      <c r="B250" s="164" t="s">
        <v>220</v>
      </c>
      <c r="C250" s="156">
        <v>1</v>
      </c>
      <c r="D250" s="127">
        <v>14909</v>
      </c>
      <c r="E250" s="156">
        <v>13600</v>
      </c>
      <c r="F250" s="156">
        <v>13600</v>
      </c>
      <c r="G250" s="156">
        <f>SUM(J250:L250)</f>
        <v>0</v>
      </c>
      <c r="H250" s="156"/>
      <c r="I250" s="156"/>
      <c r="J250" s="156"/>
      <c r="K250" s="156">
        <f>F250-E250</f>
        <v>0</v>
      </c>
      <c r="L250" s="127"/>
      <c r="M250" s="127">
        <f t="shared" si="141"/>
        <v>0</v>
      </c>
      <c r="N250" s="126"/>
      <c r="O250" s="126">
        <f t="shared" si="142"/>
        <v>0</v>
      </c>
    </row>
    <row r="251" spans="1:15" ht="31.5" hidden="1">
      <c r="A251" s="153"/>
      <c r="B251" s="164" t="s">
        <v>219</v>
      </c>
      <c r="C251" s="156">
        <v>1</v>
      </c>
      <c r="D251" s="127">
        <v>9700</v>
      </c>
      <c r="E251" s="156">
        <v>3600</v>
      </c>
      <c r="F251" s="156">
        <v>4000</v>
      </c>
      <c r="G251" s="156">
        <f>SUM(J251:L251)</f>
        <v>400</v>
      </c>
      <c r="H251" s="156"/>
      <c r="I251" s="156"/>
      <c r="J251" s="156"/>
      <c r="K251" s="156">
        <f>F251-E251</f>
        <v>400</v>
      </c>
      <c r="L251" s="127"/>
      <c r="M251" s="127">
        <f t="shared" si="141"/>
        <v>400</v>
      </c>
      <c r="N251" s="126"/>
      <c r="O251" s="126">
        <f t="shared" si="142"/>
        <v>400</v>
      </c>
    </row>
    <row r="252" spans="1:15" hidden="1">
      <c r="A252" s="153"/>
      <c r="B252" s="164" t="s">
        <v>218</v>
      </c>
      <c r="C252" s="156">
        <v>1</v>
      </c>
      <c r="D252" s="127">
        <v>997</v>
      </c>
      <c r="E252" s="156">
        <v>740</v>
      </c>
      <c r="F252" s="156">
        <v>891</v>
      </c>
      <c r="G252" s="156">
        <f>SUM(J252:L252)</f>
        <v>151</v>
      </c>
      <c r="H252" s="156"/>
      <c r="I252" s="156"/>
      <c r="J252" s="156"/>
      <c r="K252" s="156">
        <f>F252-E252</f>
        <v>151</v>
      </c>
      <c r="L252" s="127"/>
      <c r="M252" s="127">
        <f t="shared" si="141"/>
        <v>151</v>
      </c>
      <c r="N252" s="126"/>
      <c r="O252" s="126">
        <f t="shared" si="142"/>
        <v>151</v>
      </c>
    </row>
    <row r="253" spans="1:15" s="142" customFormat="1" hidden="1">
      <c r="A253" s="170" t="s">
        <v>214</v>
      </c>
      <c r="B253" s="245" t="s">
        <v>217</v>
      </c>
      <c r="C253" s="162"/>
      <c r="D253" s="163"/>
      <c r="E253" s="162"/>
      <c r="F253" s="162"/>
      <c r="G253" s="162"/>
      <c r="H253" s="140"/>
      <c r="I253" s="140"/>
      <c r="J253" s="162"/>
      <c r="K253" s="162"/>
      <c r="L253" s="163"/>
      <c r="M253" s="127">
        <f t="shared" si="141"/>
        <v>0</v>
      </c>
      <c r="N253" s="126"/>
      <c r="O253" s="126">
        <f t="shared" si="142"/>
        <v>0</v>
      </c>
    </row>
    <row r="254" spans="1:15">
      <c r="A254" s="146">
        <v>20</v>
      </c>
      <c r="B254" s="161" t="s">
        <v>216</v>
      </c>
      <c r="C254" s="159">
        <f t="shared" ref="C254:G254" si="143">+C255</f>
        <v>0</v>
      </c>
      <c r="D254" s="159">
        <f t="shared" si="143"/>
        <v>0</v>
      </c>
      <c r="E254" s="159">
        <f t="shared" si="143"/>
        <v>0</v>
      </c>
      <c r="F254" s="159">
        <f t="shared" si="143"/>
        <v>0</v>
      </c>
      <c r="G254" s="159">
        <f t="shared" si="143"/>
        <v>0</v>
      </c>
      <c r="H254" s="160">
        <f t="shared" ref="H254:O254" si="144">H255+H256+H257</f>
        <v>0</v>
      </c>
      <c r="I254" s="160">
        <f t="shared" si="144"/>
        <v>0</v>
      </c>
      <c r="J254" s="159">
        <f t="shared" ref="J254:L254" si="145">+J255</f>
        <v>0</v>
      </c>
      <c r="K254" s="159">
        <f t="shared" si="145"/>
        <v>0</v>
      </c>
      <c r="L254" s="159">
        <f t="shared" si="145"/>
        <v>0</v>
      </c>
      <c r="M254" s="159">
        <f t="shared" si="144"/>
        <v>5456.65</v>
      </c>
      <c r="N254" s="159">
        <f>+N255</f>
        <v>0</v>
      </c>
      <c r="O254" s="159">
        <f t="shared" si="144"/>
        <v>5456.65</v>
      </c>
    </row>
    <row r="255" spans="1:15">
      <c r="A255" s="158" t="s">
        <v>414</v>
      </c>
      <c r="B255" s="152" t="s">
        <v>215</v>
      </c>
      <c r="C255" s="156"/>
      <c r="D255" s="127"/>
      <c r="E255" s="156"/>
      <c r="F255" s="156"/>
      <c r="G255" s="156"/>
      <c r="H255" s="140"/>
      <c r="I255" s="140"/>
      <c r="J255" s="156"/>
      <c r="K255" s="156"/>
      <c r="L255" s="127"/>
      <c r="M255" s="127"/>
      <c r="N255" s="127"/>
      <c r="O255" s="127"/>
    </row>
    <row r="256" spans="1:15" ht="31.5" hidden="1">
      <c r="A256" s="158" t="s">
        <v>214</v>
      </c>
      <c r="B256" s="157" t="s">
        <v>213</v>
      </c>
      <c r="C256" s="156"/>
      <c r="D256" s="156"/>
      <c r="E256" s="156"/>
      <c r="F256" s="156"/>
      <c r="G256" s="156"/>
      <c r="H256" s="140"/>
      <c r="I256" s="140"/>
      <c r="J256" s="156"/>
      <c r="K256" s="156"/>
      <c r="L256" s="156"/>
      <c r="M256" s="127"/>
      <c r="N256" s="127"/>
      <c r="O256" s="127"/>
    </row>
    <row r="257" spans="1:15" s="132" customFormat="1" ht="17.25" hidden="1">
      <c r="A257" s="135" t="s">
        <v>214</v>
      </c>
      <c r="B257" s="141" t="s">
        <v>212</v>
      </c>
      <c r="C257" s="140">
        <f t="shared" ref="C257:O257" si="146">SUM(C258:C267)</f>
        <v>10</v>
      </c>
      <c r="D257" s="140">
        <f t="shared" si="146"/>
        <v>45133.293999999994</v>
      </c>
      <c r="E257" s="140">
        <f t="shared" si="146"/>
        <v>25707.35</v>
      </c>
      <c r="F257" s="140">
        <f t="shared" si="146"/>
        <v>31164</v>
      </c>
      <c r="G257" s="140">
        <f t="shared" si="146"/>
        <v>5456.65</v>
      </c>
      <c r="H257" s="140">
        <f t="shared" si="146"/>
        <v>0</v>
      </c>
      <c r="I257" s="140">
        <f t="shared" si="146"/>
        <v>0</v>
      </c>
      <c r="J257" s="140">
        <f t="shared" si="146"/>
        <v>0</v>
      </c>
      <c r="K257" s="140">
        <f t="shared" si="146"/>
        <v>5456.65</v>
      </c>
      <c r="L257" s="140">
        <f t="shared" si="146"/>
        <v>0</v>
      </c>
      <c r="M257" s="140">
        <f t="shared" si="146"/>
        <v>5456.65</v>
      </c>
      <c r="N257" s="140">
        <f t="shared" si="146"/>
        <v>0</v>
      </c>
      <c r="O257" s="140">
        <f t="shared" si="146"/>
        <v>5456.65</v>
      </c>
    </row>
    <row r="258" spans="1:15" hidden="1">
      <c r="A258" s="153"/>
      <c r="B258" s="157" t="s">
        <v>211</v>
      </c>
      <c r="C258" s="156">
        <v>1</v>
      </c>
      <c r="D258" s="156">
        <v>8902.7749999999996</v>
      </c>
      <c r="E258" s="156">
        <v>4750</v>
      </c>
      <c r="F258" s="156">
        <v>7116</v>
      </c>
      <c r="G258" s="156">
        <f t="shared" ref="G258:G267" si="147">SUM(J258:L258)</f>
        <v>2366</v>
      </c>
      <c r="H258" s="156"/>
      <c r="I258" s="156"/>
      <c r="J258" s="156"/>
      <c r="K258" s="156">
        <f t="shared" ref="K258:K267" si="148">F258-E258</f>
        <v>2366</v>
      </c>
      <c r="L258" s="156"/>
      <c r="M258" s="127">
        <f t="shared" ref="M258:M267" si="149">G258</f>
        <v>2366</v>
      </c>
      <c r="N258" s="126"/>
      <c r="O258" s="126">
        <f t="shared" ref="O258:O267" si="150">G258</f>
        <v>2366</v>
      </c>
    </row>
    <row r="259" spans="1:15" ht="47.25" hidden="1" customHeight="1">
      <c r="A259" s="153"/>
      <c r="B259" s="157" t="s">
        <v>210</v>
      </c>
      <c r="C259" s="156">
        <v>1</v>
      </c>
      <c r="D259" s="156">
        <v>9500</v>
      </c>
      <c r="E259" s="156">
        <v>8200</v>
      </c>
      <c r="F259" s="156">
        <v>8500</v>
      </c>
      <c r="G259" s="156">
        <f t="shared" si="147"/>
        <v>300</v>
      </c>
      <c r="H259" s="156"/>
      <c r="I259" s="156"/>
      <c r="J259" s="156"/>
      <c r="K259" s="156">
        <f t="shared" si="148"/>
        <v>300</v>
      </c>
      <c r="L259" s="156"/>
      <c r="M259" s="127">
        <f t="shared" si="149"/>
        <v>300</v>
      </c>
      <c r="N259" s="126"/>
      <c r="O259" s="126">
        <f t="shared" si="150"/>
        <v>300</v>
      </c>
    </row>
    <row r="260" spans="1:15" ht="31.5" hidden="1">
      <c r="A260" s="153"/>
      <c r="B260" s="157" t="s">
        <v>209</v>
      </c>
      <c r="C260" s="156">
        <v>1</v>
      </c>
      <c r="D260" s="156">
        <v>1228.3420000000001</v>
      </c>
      <c r="E260" s="156">
        <v>171</v>
      </c>
      <c r="F260" s="156">
        <v>900</v>
      </c>
      <c r="G260" s="156">
        <f t="shared" si="147"/>
        <v>729</v>
      </c>
      <c r="H260" s="156"/>
      <c r="I260" s="156"/>
      <c r="J260" s="156"/>
      <c r="K260" s="156">
        <f t="shared" si="148"/>
        <v>729</v>
      </c>
      <c r="L260" s="156"/>
      <c r="M260" s="127">
        <f t="shared" si="149"/>
        <v>729</v>
      </c>
      <c r="N260" s="126"/>
      <c r="O260" s="126">
        <f t="shared" si="150"/>
        <v>729</v>
      </c>
    </row>
    <row r="261" spans="1:15" hidden="1">
      <c r="A261" s="153"/>
      <c r="B261" s="157" t="s">
        <v>208</v>
      </c>
      <c r="C261" s="156">
        <v>1</v>
      </c>
      <c r="D261" s="156">
        <v>9997.7099999999991</v>
      </c>
      <c r="E261" s="156">
        <v>6179</v>
      </c>
      <c r="F261" s="156">
        <v>6648</v>
      </c>
      <c r="G261" s="156">
        <f t="shared" si="147"/>
        <v>469</v>
      </c>
      <c r="H261" s="156"/>
      <c r="I261" s="156"/>
      <c r="J261" s="156"/>
      <c r="K261" s="156">
        <f t="shared" si="148"/>
        <v>469</v>
      </c>
      <c r="L261" s="156"/>
      <c r="M261" s="127">
        <f t="shared" si="149"/>
        <v>469</v>
      </c>
      <c r="N261" s="126"/>
      <c r="O261" s="126">
        <f t="shared" si="150"/>
        <v>469</v>
      </c>
    </row>
    <row r="262" spans="1:15" hidden="1">
      <c r="A262" s="153"/>
      <c r="B262" s="157" t="s">
        <v>207</v>
      </c>
      <c r="C262" s="156">
        <v>1</v>
      </c>
      <c r="D262" s="156">
        <v>1159.585</v>
      </c>
      <c r="E262" s="156">
        <v>658</v>
      </c>
      <c r="F262" s="156">
        <v>850</v>
      </c>
      <c r="G262" s="156">
        <f t="shared" si="147"/>
        <v>192</v>
      </c>
      <c r="H262" s="156"/>
      <c r="I262" s="156"/>
      <c r="J262" s="156"/>
      <c r="K262" s="156">
        <f t="shared" si="148"/>
        <v>192</v>
      </c>
      <c r="L262" s="156"/>
      <c r="M262" s="127">
        <f t="shared" si="149"/>
        <v>192</v>
      </c>
      <c r="N262" s="126"/>
      <c r="O262" s="126">
        <f t="shared" si="150"/>
        <v>192</v>
      </c>
    </row>
    <row r="263" spans="1:15" ht="31.5" hidden="1">
      <c r="A263" s="153"/>
      <c r="B263" s="157" t="s">
        <v>206</v>
      </c>
      <c r="C263" s="156">
        <v>1</v>
      </c>
      <c r="D263" s="156">
        <v>1152.2660000000001</v>
      </c>
      <c r="E263" s="156">
        <v>559</v>
      </c>
      <c r="F263" s="156">
        <v>800</v>
      </c>
      <c r="G263" s="156">
        <f t="shared" si="147"/>
        <v>241</v>
      </c>
      <c r="H263" s="156"/>
      <c r="I263" s="156"/>
      <c r="J263" s="156"/>
      <c r="K263" s="156">
        <f t="shared" si="148"/>
        <v>241</v>
      </c>
      <c r="L263" s="156"/>
      <c r="M263" s="127">
        <f t="shared" si="149"/>
        <v>241</v>
      </c>
      <c r="N263" s="126"/>
      <c r="O263" s="126">
        <f t="shared" si="150"/>
        <v>241</v>
      </c>
    </row>
    <row r="264" spans="1:15" hidden="1">
      <c r="A264" s="153"/>
      <c r="B264" s="157" t="s">
        <v>205</v>
      </c>
      <c r="C264" s="156">
        <v>1</v>
      </c>
      <c r="D264" s="156">
        <v>1941.248</v>
      </c>
      <c r="E264" s="156">
        <v>1098.3499999999999</v>
      </c>
      <c r="F264" s="156">
        <v>1400</v>
      </c>
      <c r="G264" s="156">
        <f t="shared" si="147"/>
        <v>301.65000000000009</v>
      </c>
      <c r="H264" s="156"/>
      <c r="I264" s="156"/>
      <c r="J264" s="156"/>
      <c r="K264" s="156">
        <f t="shared" si="148"/>
        <v>301.65000000000009</v>
      </c>
      <c r="L264" s="156"/>
      <c r="M264" s="127">
        <f t="shared" si="149"/>
        <v>301.65000000000009</v>
      </c>
      <c r="N264" s="126"/>
      <c r="O264" s="126">
        <f t="shared" si="150"/>
        <v>301.65000000000009</v>
      </c>
    </row>
    <row r="265" spans="1:15" ht="31.5" hidden="1">
      <c r="A265" s="153"/>
      <c r="B265" s="157" t="s">
        <v>204</v>
      </c>
      <c r="C265" s="156">
        <v>1</v>
      </c>
      <c r="D265" s="156">
        <v>2990.123</v>
      </c>
      <c r="E265" s="156">
        <v>2047</v>
      </c>
      <c r="F265" s="156">
        <v>2400</v>
      </c>
      <c r="G265" s="156">
        <f t="shared" si="147"/>
        <v>353</v>
      </c>
      <c r="H265" s="156"/>
      <c r="I265" s="156"/>
      <c r="J265" s="156"/>
      <c r="K265" s="156">
        <f t="shared" si="148"/>
        <v>353</v>
      </c>
      <c r="L265" s="156"/>
      <c r="M265" s="127">
        <f t="shared" si="149"/>
        <v>353</v>
      </c>
      <c r="N265" s="126"/>
      <c r="O265" s="126">
        <f t="shared" si="150"/>
        <v>353</v>
      </c>
    </row>
    <row r="266" spans="1:15" hidden="1">
      <c r="A266" s="153"/>
      <c r="B266" s="157" t="s">
        <v>203</v>
      </c>
      <c r="C266" s="156">
        <v>1</v>
      </c>
      <c r="D266" s="156">
        <v>7433.2969999999996</v>
      </c>
      <c r="E266" s="156">
        <v>1600</v>
      </c>
      <c r="F266" s="156">
        <v>2000</v>
      </c>
      <c r="G266" s="156">
        <f t="shared" si="147"/>
        <v>400</v>
      </c>
      <c r="H266" s="156"/>
      <c r="I266" s="156"/>
      <c r="J266" s="156"/>
      <c r="K266" s="156">
        <f t="shared" si="148"/>
        <v>400</v>
      </c>
      <c r="L266" s="156"/>
      <c r="M266" s="127">
        <f t="shared" si="149"/>
        <v>400</v>
      </c>
      <c r="N266" s="126"/>
      <c r="O266" s="126">
        <f t="shared" si="150"/>
        <v>400</v>
      </c>
    </row>
    <row r="267" spans="1:15" ht="31.5" hidden="1">
      <c r="A267" s="153"/>
      <c r="B267" s="157" t="s">
        <v>202</v>
      </c>
      <c r="C267" s="156">
        <v>1</v>
      </c>
      <c r="D267" s="156">
        <v>827.94799999999998</v>
      </c>
      <c r="E267" s="156">
        <v>445</v>
      </c>
      <c r="F267" s="156">
        <v>550</v>
      </c>
      <c r="G267" s="156">
        <f t="shared" si="147"/>
        <v>105</v>
      </c>
      <c r="H267" s="156"/>
      <c r="I267" s="156"/>
      <c r="J267" s="156"/>
      <c r="K267" s="156">
        <f t="shared" si="148"/>
        <v>105</v>
      </c>
      <c r="L267" s="156"/>
      <c r="M267" s="127">
        <f t="shared" si="149"/>
        <v>105</v>
      </c>
      <c r="N267" s="126"/>
      <c r="O267" s="126">
        <f t="shared" si="150"/>
        <v>105</v>
      </c>
    </row>
    <row r="268" spans="1:15" s="154" customFormat="1">
      <c r="A268" s="146">
        <v>21</v>
      </c>
      <c r="B268" s="145" t="s">
        <v>29</v>
      </c>
      <c r="C268" s="136">
        <f t="shared" ref="C268:G268" si="151">+C269</f>
        <v>8</v>
      </c>
      <c r="D268" s="136">
        <f t="shared" si="151"/>
        <v>30857</v>
      </c>
      <c r="E268" s="136">
        <f t="shared" si="151"/>
        <v>25863</v>
      </c>
      <c r="F268" s="136">
        <f t="shared" si="151"/>
        <v>30128</v>
      </c>
      <c r="G268" s="136">
        <f t="shared" si="151"/>
        <v>4265</v>
      </c>
      <c r="H268" s="155">
        <f t="shared" ref="H268:O268" si="152">H269+H279+H280</f>
        <v>0</v>
      </c>
      <c r="I268" s="155">
        <f t="shared" si="152"/>
        <v>0</v>
      </c>
      <c r="J268" s="136">
        <f t="shared" ref="J268:L268" si="153">+J269</f>
        <v>0</v>
      </c>
      <c r="K268" s="136">
        <f t="shared" si="153"/>
        <v>4265</v>
      </c>
      <c r="L268" s="136">
        <f t="shared" si="153"/>
        <v>0</v>
      </c>
      <c r="M268" s="136">
        <f t="shared" si="152"/>
        <v>4265</v>
      </c>
      <c r="N268" s="136">
        <f>+N269</f>
        <v>4265</v>
      </c>
      <c r="O268" s="136">
        <f t="shared" si="152"/>
        <v>0</v>
      </c>
    </row>
    <row r="269" spans="1:15">
      <c r="A269" s="158" t="s">
        <v>414</v>
      </c>
      <c r="B269" s="152" t="s">
        <v>201</v>
      </c>
      <c r="C269" s="128">
        <f t="shared" ref="C269:O269" si="154">SUM(C270:C278)</f>
        <v>8</v>
      </c>
      <c r="D269" s="128">
        <f t="shared" si="154"/>
        <v>30857</v>
      </c>
      <c r="E269" s="128">
        <f t="shared" si="154"/>
        <v>25863</v>
      </c>
      <c r="F269" s="128">
        <f t="shared" si="154"/>
        <v>30128</v>
      </c>
      <c r="G269" s="128">
        <f t="shared" si="154"/>
        <v>4265</v>
      </c>
      <c r="H269" s="133">
        <f t="shared" si="154"/>
        <v>0</v>
      </c>
      <c r="I269" s="133">
        <f t="shared" si="154"/>
        <v>0</v>
      </c>
      <c r="J269" s="128">
        <f t="shared" si="154"/>
        <v>0</v>
      </c>
      <c r="K269" s="128">
        <f t="shared" si="154"/>
        <v>4265</v>
      </c>
      <c r="L269" s="128">
        <f t="shared" si="154"/>
        <v>0</v>
      </c>
      <c r="M269" s="128">
        <f t="shared" si="154"/>
        <v>4265</v>
      </c>
      <c r="N269" s="133">
        <f t="shared" si="154"/>
        <v>4265</v>
      </c>
      <c r="O269" s="133">
        <f t="shared" si="154"/>
        <v>0</v>
      </c>
    </row>
    <row r="270" spans="1:15" s="148" customFormat="1" hidden="1">
      <c r="A270" s="151"/>
      <c r="B270" s="150" t="s">
        <v>200</v>
      </c>
      <c r="C270" s="149">
        <v>1</v>
      </c>
      <c r="D270" s="149">
        <v>5000</v>
      </c>
      <c r="E270" s="149">
        <v>4514</v>
      </c>
      <c r="F270" s="149">
        <v>4814</v>
      </c>
      <c r="G270" s="149">
        <f t="shared" ref="G270:G278" si="155">SUM(J270:L270)</f>
        <v>300</v>
      </c>
      <c r="H270" s="149"/>
      <c r="I270" s="149"/>
      <c r="J270" s="149"/>
      <c r="K270" s="149">
        <f t="shared" ref="K270:K278" si="156">F270-E270</f>
        <v>300</v>
      </c>
      <c r="L270" s="149"/>
      <c r="M270" s="127">
        <f t="shared" ref="M270:M279" si="157">G270</f>
        <v>300</v>
      </c>
      <c r="N270" s="126">
        <f t="shared" ref="N270:N278" si="158">G270</f>
        <v>300</v>
      </c>
      <c r="O270" s="126"/>
    </row>
    <row r="271" spans="1:15" s="148" customFormat="1" ht="31.5" hidden="1">
      <c r="A271" s="151"/>
      <c r="B271" s="150" t="s">
        <v>199</v>
      </c>
      <c r="C271" s="149">
        <v>1</v>
      </c>
      <c r="D271" s="149">
        <v>2800</v>
      </c>
      <c r="E271" s="149">
        <v>2423</v>
      </c>
      <c r="F271" s="149">
        <v>2723</v>
      </c>
      <c r="G271" s="149">
        <f t="shared" si="155"/>
        <v>300</v>
      </c>
      <c r="H271" s="149"/>
      <c r="I271" s="149"/>
      <c r="J271" s="149"/>
      <c r="K271" s="149">
        <f t="shared" si="156"/>
        <v>300</v>
      </c>
      <c r="L271" s="149"/>
      <c r="M271" s="127">
        <f t="shared" si="157"/>
        <v>300</v>
      </c>
      <c r="N271" s="126">
        <f t="shared" si="158"/>
        <v>300</v>
      </c>
      <c r="O271" s="126"/>
    </row>
    <row r="272" spans="1:15" s="148" customFormat="1" hidden="1">
      <c r="A272" s="151"/>
      <c r="B272" s="150" t="s">
        <v>198</v>
      </c>
      <c r="C272" s="149">
        <v>1</v>
      </c>
      <c r="D272" s="149">
        <v>2500</v>
      </c>
      <c r="E272" s="149">
        <v>1874</v>
      </c>
      <c r="F272" s="149">
        <v>2374</v>
      </c>
      <c r="G272" s="149">
        <f t="shared" si="155"/>
        <v>500</v>
      </c>
      <c r="H272" s="149"/>
      <c r="I272" s="149"/>
      <c r="J272" s="149"/>
      <c r="K272" s="149">
        <f t="shared" si="156"/>
        <v>500</v>
      </c>
      <c r="L272" s="149"/>
      <c r="M272" s="127">
        <f t="shared" si="157"/>
        <v>500</v>
      </c>
      <c r="N272" s="126">
        <f t="shared" si="158"/>
        <v>500</v>
      </c>
      <c r="O272" s="126"/>
    </row>
    <row r="273" spans="1:15" s="148" customFormat="1" hidden="1">
      <c r="A273" s="151"/>
      <c r="B273" s="150" t="s">
        <v>197</v>
      </c>
      <c r="C273" s="149"/>
      <c r="D273" s="149">
        <v>2500</v>
      </c>
      <c r="E273" s="149">
        <v>1949</v>
      </c>
      <c r="F273" s="149">
        <v>2349</v>
      </c>
      <c r="G273" s="149">
        <f t="shared" si="155"/>
        <v>400</v>
      </c>
      <c r="H273" s="149"/>
      <c r="I273" s="149"/>
      <c r="J273" s="149"/>
      <c r="K273" s="149">
        <f t="shared" si="156"/>
        <v>400</v>
      </c>
      <c r="L273" s="149"/>
      <c r="M273" s="127">
        <f t="shared" si="157"/>
        <v>400</v>
      </c>
      <c r="N273" s="126">
        <f t="shared" si="158"/>
        <v>400</v>
      </c>
      <c r="O273" s="126"/>
    </row>
    <row r="274" spans="1:15" s="148" customFormat="1" hidden="1">
      <c r="A274" s="151"/>
      <c r="B274" s="150" t="s">
        <v>196</v>
      </c>
      <c r="C274" s="149">
        <v>1</v>
      </c>
      <c r="D274" s="149">
        <v>4500</v>
      </c>
      <c r="E274" s="149">
        <v>3976</v>
      </c>
      <c r="F274" s="149">
        <v>4476</v>
      </c>
      <c r="G274" s="149">
        <f t="shared" si="155"/>
        <v>500</v>
      </c>
      <c r="H274" s="149"/>
      <c r="I274" s="149"/>
      <c r="J274" s="149"/>
      <c r="K274" s="149">
        <f t="shared" si="156"/>
        <v>500</v>
      </c>
      <c r="L274" s="149"/>
      <c r="M274" s="127">
        <f t="shared" si="157"/>
        <v>500</v>
      </c>
      <c r="N274" s="126">
        <f t="shared" si="158"/>
        <v>500</v>
      </c>
      <c r="O274" s="126"/>
    </row>
    <row r="275" spans="1:15" s="148" customFormat="1" ht="31.5" hidden="1">
      <c r="A275" s="151"/>
      <c r="B275" s="150" t="s">
        <v>195</v>
      </c>
      <c r="C275" s="149">
        <v>1</v>
      </c>
      <c r="D275" s="149">
        <v>9996</v>
      </c>
      <c r="E275" s="149">
        <v>8984</v>
      </c>
      <c r="F275" s="149">
        <v>9949</v>
      </c>
      <c r="G275" s="149">
        <f t="shared" si="155"/>
        <v>965</v>
      </c>
      <c r="H275" s="149"/>
      <c r="I275" s="149"/>
      <c r="J275" s="149"/>
      <c r="K275" s="149">
        <f t="shared" si="156"/>
        <v>965</v>
      </c>
      <c r="L275" s="149"/>
      <c r="M275" s="127">
        <f t="shared" si="157"/>
        <v>965</v>
      </c>
      <c r="N275" s="126">
        <f t="shared" si="158"/>
        <v>965</v>
      </c>
      <c r="O275" s="126"/>
    </row>
    <row r="276" spans="1:15" ht="31.5" hidden="1">
      <c r="A276" s="153"/>
      <c r="B276" s="152" t="s">
        <v>194</v>
      </c>
      <c r="C276" s="128">
        <v>1</v>
      </c>
      <c r="D276" s="128">
        <v>985</v>
      </c>
      <c r="E276" s="128">
        <v>779</v>
      </c>
      <c r="F276" s="128">
        <v>979</v>
      </c>
      <c r="G276" s="149">
        <f t="shared" si="155"/>
        <v>200</v>
      </c>
      <c r="H276" s="128"/>
      <c r="I276" s="128"/>
      <c r="J276" s="128"/>
      <c r="K276" s="128">
        <f t="shared" si="156"/>
        <v>200</v>
      </c>
      <c r="L276" s="128"/>
      <c r="M276" s="127">
        <f t="shared" si="157"/>
        <v>200</v>
      </c>
      <c r="N276" s="126">
        <f t="shared" si="158"/>
        <v>200</v>
      </c>
      <c r="O276" s="126"/>
    </row>
    <row r="277" spans="1:15" hidden="1">
      <c r="A277" s="153"/>
      <c r="B277" s="152" t="s">
        <v>193</v>
      </c>
      <c r="C277" s="128">
        <v>1</v>
      </c>
      <c r="D277" s="128">
        <v>1743</v>
      </c>
      <c r="E277" s="128">
        <v>875</v>
      </c>
      <c r="F277" s="128">
        <v>1675</v>
      </c>
      <c r="G277" s="149">
        <f t="shared" si="155"/>
        <v>800</v>
      </c>
      <c r="H277" s="128"/>
      <c r="I277" s="128"/>
      <c r="J277" s="128"/>
      <c r="K277" s="128">
        <f t="shared" si="156"/>
        <v>800</v>
      </c>
      <c r="L277" s="128"/>
      <c r="M277" s="127">
        <f t="shared" si="157"/>
        <v>800</v>
      </c>
      <c r="N277" s="126">
        <f t="shared" si="158"/>
        <v>800</v>
      </c>
      <c r="O277" s="126"/>
    </row>
    <row r="278" spans="1:15" s="148" customFormat="1" hidden="1">
      <c r="A278" s="151"/>
      <c r="B278" s="150" t="s">
        <v>192</v>
      </c>
      <c r="C278" s="149">
        <v>1</v>
      </c>
      <c r="D278" s="149">
        <v>833</v>
      </c>
      <c r="E278" s="149">
        <v>489</v>
      </c>
      <c r="F278" s="149">
        <v>789</v>
      </c>
      <c r="G278" s="149">
        <f t="shared" si="155"/>
        <v>300</v>
      </c>
      <c r="H278" s="149"/>
      <c r="I278" s="149"/>
      <c r="J278" s="149"/>
      <c r="K278" s="149">
        <f t="shared" si="156"/>
        <v>300</v>
      </c>
      <c r="L278" s="149"/>
      <c r="M278" s="127">
        <f t="shared" si="157"/>
        <v>300</v>
      </c>
      <c r="N278" s="126">
        <f t="shared" si="158"/>
        <v>300</v>
      </c>
      <c r="O278" s="126"/>
    </row>
    <row r="279" spans="1:15" ht="31.5" hidden="1">
      <c r="A279" s="158" t="s">
        <v>214</v>
      </c>
      <c r="B279" s="152" t="s">
        <v>176</v>
      </c>
      <c r="C279" s="128"/>
      <c r="D279" s="128"/>
      <c r="E279" s="128"/>
      <c r="F279" s="128"/>
      <c r="G279" s="128"/>
      <c r="H279" s="133"/>
      <c r="I279" s="133"/>
      <c r="J279" s="128"/>
      <c r="K279" s="128"/>
      <c r="L279" s="128"/>
      <c r="M279" s="127">
        <f t="shared" si="157"/>
        <v>0</v>
      </c>
      <c r="N279" s="126">
        <f>M279</f>
        <v>0</v>
      </c>
      <c r="O279" s="126">
        <f>M279</f>
        <v>0</v>
      </c>
    </row>
    <row r="280" spans="1:15" s="132" customFormat="1" ht="17.25" hidden="1">
      <c r="A280" s="135" t="s">
        <v>214</v>
      </c>
      <c r="B280" s="134" t="s">
        <v>175</v>
      </c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26"/>
      <c r="O280" s="126"/>
    </row>
    <row r="281" spans="1:15" s="142" customFormat="1">
      <c r="A281" s="146">
        <v>22</v>
      </c>
      <c r="B281" s="145" t="s">
        <v>28</v>
      </c>
      <c r="C281" s="143">
        <f t="shared" ref="C281:G281" si="159">+C282</f>
        <v>14</v>
      </c>
      <c r="D281" s="143">
        <f t="shared" si="159"/>
        <v>47467.107000000004</v>
      </c>
      <c r="E281" s="143">
        <f t="shared" si="159"/>
        <v>39320.196000000004</v>
      </c>
      <c r="F281" s="143">
        <f t="shared" si="159"/>
        <v>42022.275999999998</v>
      </c>
      <c r="G281" s="143">
        <f t="shared" si="159"/>
        <v>2702.0800000000004</v>
      </c>
      <c r="H281" s="144">
        <f t="shared" ref="H281:O281" si="160">H282+H297+H298</f>
        <v>0</v>
      </c>
      <c r="I281" s="144">
        <f t="shared" si="160"/>
        <v>0</v>
      </c>
      <c r="J281" s="143">
        <f t="shared" ref="J281:L281" si="161">+J282</f>
        <v>0</v>
      </c>
      <c r="K281" s="143">
        <f t="shared" si="161"/>
        <v>2702.0800000000004</v>
      </c>
      <c r="L281" s="143">
        <f t="shared" si="161"/>
        <v>0</v>
      </c>
      <c r="M281" s="143">
        <f t="shared" si="160"/>
        <v>2702.0800000000004</v>
      </c>
      <c r="N281" s="143">
        <f>+N282</f>
        <v>2702.0800000000004</v>
      </c>
      <c r="O281" s="143">
        <f t="shared" si="160"/>
        <v>0</v>
      </c>
    </row>
    <row r="282" spans="1:15">
      <c r="A282" s="158" t="s">
        <v>414</v>
      </c>
      <c r="B282" s="157" t="s">
        <v>191</v>
      </c>
      <c r="C282" s="156">
        <f t="shared" ref="C282:O282" si="162">SUM(C283:C296)</f>
        <v>14</v>
      </c>
      <c r="D282" s="156">
        <f t="shared" si="162"/>
        <v>47467.107000000004</v>
      </c>
      <c r="E282" s="156">
        <f t="shared" si="162"/>
        <v>39320.196000000004</v>
      </c>
      <c r="F282" s="156">
        <f t="shared" si="162"/>
        <v>42022.275999999998</v>
      </c>
      <c r="G282" s="156">
        <f t="shared" si="162"/>
        <v>2702.0800000000004</v>
      </c>
      <c r="H282" s="140">
        <f t="shared" si="162"/>
        <v>0</v>
      </c>
      <c r="I282" s="140">
        <f t="shared" si="162"/>
        <v>0</v>
      </c>
      <c r="J282" s="156">
        <f t="shared" si="162"/>
        <v>0</v>
      </c>
      <c r="K282" s="156">
        <f t="shared" si="162"/>
        <v>2702.0800000000004</v>
      </c>
      <c r="L282" s="156">
        <f t="shared" si="162"/>
        <v>0</v>
      </c>
      <c r="M282" s="156">
        <f t="shared" si="162"/>
        <v>2702.0800000000004</v>
      </c>
      <c r="N282" s="140">
        <f t="shared" si="162"/>
        <v>2702.0800000000004</v>
      </c>
      <c r="O282" s="140">
        <f t="shared" si="162"/>
        <v>0</v>
      </c>
    </row>
    <row r="283" spans="1:15" s="132" customFormat="1" ht="17.25" hidden="1">
      <c r="A283" s="138"/>
      <c r="B283" s="130" t="s">
        <v>190</v>
      </c>
      <c r="C283" s="137">
        <v>1</v>
      </c>
      <c r="D283" s="128">
        <v>2863.5749999999998</v>
      </c>
      <c r="E283" s="128">
        <v>2405.6709999999998</v>
      </c>
      <c r="F283" s="128">
        <v>2593.9850000000001</v>
      </c>
      <c r="G283" s="128">
        <f t="shared" ref="G283:G296" si="163">SUM(J283:L283)</f>
        <v>188.31400000000031</v>
      </c>
      <c r="H283" s="128"/>
      <c r="I283" s="128"/>
      <c r="J283" s="128"/>
      <c r="K283" s="128">
        <f t="shared" ref="K283:K295" si="164">+F283-E283</f>
        <v>188.31400000000031</v>
      </c>
      <c r="L283" s="128"/>
      <c r="M283" s="128">
        <f t="shared" ref="M283:M298" si="165">G283</f>
        <v>188.31400000000031</v>
      </c>
      <c r="N283" s="128">
        <f t="shared" ref="N283:N296" si="166">G283</f>
        <v>188.31400000000031</v>
      </c>
      <c r="O283" s="128"/>
    </row>
    <row r="284" spans="1:15" s="132" customFormat="1" ht="17.25" hidden="1">
      <c r="A284" s="138"/>
      <c r="B284" s="130" t="s">
        <v>189</v>
      </c>
      <c r="C284" s="137">
        <v>1</v>
      </c>
      <c r="D284" s="128">
        <v>1446.146</v>
      </c>
      <c r="E284" s="128">
        <v>1404.4629999999997</v>
      </c>
      <c r="F284" s="128">
        <v>1416.8679999999999</v>
      </c>
      <c r="G284" s="128">
        <f t="shared" si="163"/>
        <v>12.4050000000002</v>
      </c>
      <c r="H284" s="128"/>
      <c r="I284" s="128"/>
      <c r="J284" s="128"/>
      <c r="K284" s="128">
        <f t="shared" si="164"/>
        <v>12.4050000000002</v>
      </c>
      <c r="L284" s="128"/>
      <c r="M284" s="128">
        <f t="shared" si="165"/>
        <v>12.4050000000002</v>
      </c>
      <c r="N284" s="128">
        <f t="shared" si="166"/>
        <v>12.4050000000002</v>
      </c>
      <c r="O284" s="128"/>
    </row>
    <row r="285" spans="1:15" s="132" customFormat="1" ht="17.25" hidden="1">
      <c r="A285" s="138"/>
      <c r="B285" s="130" t="s">
        <v>188</v>
      </c>
      <c r="C285" s="137">
        <v>1</v>
      </c>
      <c r="D285" s="128">
        <v>2909.4989999999998</v>
      </c>
      <c r="E285" s="128">
        <v>2386.5630000000001</v>
      </c>
      <c r="F285" s="128">
        <v>2577.0340000000001</v>
      </c>
      <c r="G285" s="128">
        <f t="shared" si="163"/>
        <v>190.471</v>
      </c>
      <c r="H285" s="128"/>
      <c r="I285" s="128"/>
      <c r="J285" s="128"/>
      <c r="K285" s="128">
        <f t="shared" si="164"/>
        <v>190.471</v>
      </c>
      <c r="L285" s="128"/>
      <c r="M285" s="128">
        <f t="shared" si="165"/>
        <v>190.471</v>
      </c>
      <c r="N285" s="128">
        <f t="shared" si="166"/>
        <v>190.471</v>
      </c>
      <c r="O285" s="128"/>
    </row>
    <row r="286" spans="1:15" s="132" customFormat="1" ht="33" hidden="1">
      <c r="A286" s="138"/>
      <c r="B286" s="130" t="s">
        <v>187</v>
      </c>
      <c r="C286" s="137">
        <v>1</v>
      </c>
      <c r="D286" s="128">
        <v>1159.7460000000001</v>
      </c>
      <c r="E286" s="128">
        <v>915.49599999999998</v>
      </c>
      <c r="F286" s="128">
        <v>966.46600000000001</v>
      </c>
      <c r="G286" s="128">
        <f t="shared" si="163"/>
        <v>50.970000000000027</v>
      </c>
      <c r="H286" s="128"/>
      <c r="I286" s="128"/>
      <c r="J286" s="128"/>
      <c r="K286" s="128">
        <f t="shared" si="164"/>
        <v>50.970000000000027</v>
      </c>
      <c r="L286" s="128"/>
      <c r="M286" s="128">
        <f t="shared" si="165"/>
        <v>50.970000000000027</v>
      </c>
      <c r="N286" s="128">
        <f t="shared" si="166"/>
        <v>50.970000000000027</v>
      </c>
      <c r="O286" s="128"/>
    </row>
    <row r="287" spans="1:15" s="132" customFormat="1" ht="17.25" hidden="1">
      <c r="A287" s="138"/>
      <c r="B287" s="130" t="s">
        <v>186</v>
      </c>
      <c r="C287" s="137">
        <v>1</v>
      </c>
      <c r="D287" s="128">
        <v>1048.5530000000001</v>
      </c>
      <c r="E287" s="128">
        <v>910.12900000000002</v>
      </c>
      <c r="F287" s="128">
        <v>1051.5229999999999</v>
      </c>
      <c r="G287" s="128">
        <f t="shared" si="163"/>
        <v>141.39399999999989</v>
      </c>
      <c r="H287" s="128"/>
      <c r="I287" s="128"/>
      <c r="J287" s="128"/>
      <c r="K287" s="128">
        <f t="shared" si="164"/>
        <v>141.39399999999989</v>
      </c>
      <c r="L287" s="128"/>
      <c r="M287" s="128">
        <f t="shared" si="165"/>
        <v>141.39399999999989</v>
      </c>
      <c r="N287" s="128">
        <f t="shared" si="166"/>
        <v>141.39399999999989</v>
      </c>
      <c r="O287" s="128"/>
    </row>
    <row r="288" spans="1:15" s="132" customFormat="1" ht="33" hidden="1">
      <c r="A288" s="138"/>
      <c r="B288" s="130" t="s">
        <v>185</v>
      </c>
      <c r="C288" s="137">
        <v>1</v>
      </c>
      <c r="D288" s="128">
        <v>7403.0820000000003</v>
      </c>
      <c r="E288" s="128">
        <v>7005.5940000000001</v>
      </c>
      <c r="F288" s="128">
        <v>7140.6559999999999</v>
      </c>
      <c r="G288" s="128">
        <f t="shared" si="163"/>
        <v>135.0619999999999</v>
      </c>
      <c r="H288" s="128"/>
      <c r="I288" s="128"/>
      <c r="J288" s="128"/>
      <c r="K288" s="128">
        <f t="shared" si="164"/>
        <v>135.0619999999999</v>
      </c>
      <c r="L288" s="128"/>
      <c r="M288" s="128">
        <f t="shared" si="165"/>
        <v>135.0619999999999</v>
      </c>
      <c r="N288" s="128">
        <f t="shared" si="166"/>
        <v>135.0619999999999</v>
      </c>
      <c r="O288" s="128"/>
    </row>
    <row r="289" spans="1:15" s="132" customFormat="1" ht="33" hidden="1">
      <c r="A289" s="138"/>
      <c r="B289" s="130" t="s">
        <v>184</v>
      </c>
      <c r="C289" s="137">
        <v>1</v>
      </c>
      <c r="D289" s="128">
        <v>6894.7659999999996</v>
      </c>
      <c r="E289" s="128">
        <v>6541.2569999999996</v>
      </c>
      <c r="F289" s="128">
        <v>6685.549</v>
      </c>
      <c r="G289" s="128">
        <f t="shared" si="163"/>
        <v>144.29200000000037</v>
      </c>
      <c r="H289" s="128"/>
      <c r="I289" s="128"/>
      <c r="J289" s="128"/>
      <c r="K289" s="128">
        <f t="shared" si="164"/>
        <v>144.29200000000037</v>
      </c>
      <c r="L289" s="128"/>
      <c r="M289" s="128">
        <f t="shared" si="165"/>
        <v>144.29200000000037</v>
      </c>
      <c r="N289" s="128">
        <f t="shared" si="166"/>
        <v>144.29200000000037</v>
      </c>
      <c r="O289" s="128"/>
    </row>
    <row r="290" spans="1:15" s="132" customFormat="1" ht="17.25" hidden="1">
      <c r="A290" s="138"/>
      <c r="B290" s="130" t="s">
        <v>183</v>
      </c>
      <c r="C290" s="137">
        <v>1</v>
      </c>
      <c r="D290" s="128">
        <v>4988.3770000000004</v>
      </c>
      <c r="E290" s="128">
        <v>3730.096</v>
      </c>
      <c r="F290" s="128">
        <v>3831.643</v>
      </c>
      <c r="G290" s="128">
        <f t="shared" si="163"/>
        <v>101.54700000000003</v>
      </c>
      <c r="H290" s="128"/>
      <c r="I290" s="128"/>
      <c r="J290" s="128"/>
      <c r="K290" s="128">
        <f t="shared" si="164"/>
        <v>101.54700000000003</v>
      </c>
      <c r="L290" s="128"/>
      <c r="M290" s="128">
        <f t="shared" si="165"/>
        <v>101.54700000000003</v>
      </c>
      <c r="N290" s="128">
        <f t="shared" si="166"/>
        <v>101.54700000000003</v>
      </c>
      <c r="O290" s="128"/>
    </row>
    <row r="291" spans="1:15" s="132" customFormat="1" ht="17.25" hidden="1">
      <c r="A291" s="138"/>
      <c r="B291" s="130" t="s">
        <v>182</v>
      </c>
      <c r="C291" s="137">
        <v>1</v>
      </c>
      <c r="D291" s="128">
        <v>1887.5719999999999</v>
      </c>
      <c r="E291" s="128">
        <v>550</v>
      </c>
      <c r="F291" s="128">
        <v>854.34100000000001</v>
      </c>
      <c r="G291" s="128">
        <f t="shared" si="163"/>
        <v>304.34100000000001</v>
      </c>
      <c r="H291" s="128"/>
      <c r="I291" s="128"/>
      <c r="J291" s="128"/>
      <c r="K291" s="128">
        <f t="shared" si="164"/>
        <v>304.34100000000001</v>
      </c>
      <c r="L291" s="128"/>
      <c r="M291" s="128">
        <f t="shared" si="165"/>
        <v>304.34100000000001</v>
      </c>
      <c r="N291" s="128">
        <f t="shared" si="166"/>
        <v>304.34100000000001</v>
      </c>
      <c r="O291" s="128"/>
    </row>
    <row r="292" spans="1:15" s="132" customFormat="1" ht="33" hidden="1">
      <c r="A292" s="138"/>
      <c r="B292" s="130" t="s">
        <v>181</v>
      </c>
      <c r="C292" s="139">
        <v>1</v>
      </c>
      <c r="D292" s="128">
        <v>939.92100000000005</v>
      </c>
      <c r="E292" s="128">
        <v>737.51300000000003</v>
      </c>
      <c r="F292" s="128">
        <v>792.64300000000003</v>
      </c>
      <c r="G292" s="128">
        <f t="shared" si="163"/>
        <v>55.129999999999995</v>
      </c>
      <c r="H292" s="128"/>
      <c r="I292" s="128"/>
      <c r="J292" s="128"/>
      <c r="K292" s="128">
        <f t="shared" si="164"/>
        <v>55.129999999999995</v>
      </c>
      <c r="L292" s="128"/>
      <c r="M292" s="128">
        <f t="shared" si="165"/>
        <v>55.129999999999995</v>
      </c>
      <c r="N292" s="128">
        <f t="shared" si="166"/>
        <v>55.129999999999995</v>
      </c>
      <c r="O292" s="128"/>
    </row>
    <row r="293" spans="1:15" s="132" customFormat="1" ht="33" hidden="1">
      <c r="A293" s="138"/>
      <c r="B293" s="130" t="s">
        <v>180</v>
      </c>
      <c r="C293" s="137">
        <v>1</v>
      </c>
      <c r="D293" s="128">
        <v>1870.057</v>
      </c>
      <c r="E293" s="128">
        <v>1400</v>
      </c>
      <c r="F293" s="128">
        <v>1582.633</v>
      </c>
      <c r="G293" s="128">
        <f t="shared" si="163"/>
        <v>182.63300000000004</v>
      </c>
      <c r="H293" s="128"/>
      <c r="I293" s="128"/>
      <c r="J293" s="128"/>
      <c r="K293" s="128">
        <f t="shared" si="164"/>
        <v>182.63300000000004</v>
      </c>
      <c r="L293" s="128"/>
      <c r="M293" s="128">
        <f t="shared" si="165"/>
        <v>182.63300000000004</v>
      </c>
      <c r="N293" s="128">
        <f t="shared" si="166"/>
        <v>182.63300000000004</v>
      </c>
      <c r="O293" s="128"/>
    </row>
    <row r="294" spans="1:15" s="132" customFormat="1" ht="49.5" hidden="1">
      <c r="A294" s="138"/>
      <c r="B294" s="130" t="s">
        <v>179</v>
      </c>
      <c r="C294" s="137">
        <v>1</v>
      </c>
      <c r="D294" s="128">
        <v>2066.77</v>
      </c>
      <c r="E294" s="128">
        <v>979.41399999999999</v>
      </c>
      <c r="F294" s="128">
        <v>1056.711</v>
      </c>
      <c r="G294" s="128">
        <f t="shared" si="163"/>
        <v>77.297000000000025</v>
      </c>
      <c r="H294" s="128"/>
      <c r="I294" s="128"/>
      <c r="J294" s="128"/>
      <c r="K294" s="128">
        <f t="shared" si="164"/>
        <v>77.297000000000025</v>
      </c>
      <c r="L294" s="128"/>
      <c r="M294" s="128">
        <f t="shared" si="165"/>
        <v>77.297000000000025</v>
      </c>
      <c r="N294" s="128">
        <f t="shared" si="166"/>
        <v>77.297000000000025</v>
      </c>
      <c r="O294" s="128"/>
    </row>
    <row r="295" spans="1:15" s="132" customFormat="1" ht="17.25" hidden="1">
      <c r="A295" s="138"/>
      <c r="B295" s="130" t="s">
        <v>178</v>
      </c>
      <c r="C295" s="137">
        <v>1</v>
      </c>
      <c r="D295" s="128">
        <v>1164.635</v>
      </c>
      <c r="E295" s="128">
        <v>980</v>
      </c>
      <c r="F295" s="128">
        <v>1058.4939999999999</v>
      </c>
      <c r="G295" s="128">
        <f t="shared" si="163"/>
        <v>78.493999999999915</v>
      </c>
      <c r="H295" s="128"/>
      <c r="I295" s="128"/>
      <c r="J295" s="128"/>
      <c r="K295" s="128">
        <f t="shared" si="164"/>
        <v>78.493999999999915</v>
      </c>
      <c r="L295" s="128"/>
      <c r="M295" s="128">
        <f t="shared" si="165"/>
        <v>78.493999999999915</v>
      </c>
      <c r="N295" s="128">
        <f t="shared" si="166"/>
        <v>78.493999999999915</v>
      </c>
      <c r="O295" s="128"/>
    </row>
    <row r="296" spans="1:15" ht="33" hidden="1">
      <c r="A296" s="131"/>
      <c r="B296" s="130" t="s">
        <v>177</v>
      </c>
      <c r="C296" s="129">
        <v>1</v>
      </c>
      <c r="D296" s="128">
        <v>10824.407999999999</v>
      </c>
      <c r="E296" s="128">
        <v>9374</v>
      </c>
      <c r="F296" s="128">
        <v>10413.73</v>
      </c>
      <c r="G296" s="128">
        <f t="shared" si="163"/>
        <v>1039.7299999999996</v>
      </c>
      <c r="H296" s="128"/>
      <c r="I296" s="128"/>
      <c r="J296" s="128"/>
      <c r="K296" s="128">
        <f>F296-E296</f>
        <v>1039.7299999999996</v>
      </c>
      <c r="L296" s="128"/>
      <c r="M296" s="128">
        <f t="shared" si="165"/>
        <v>1039.7299999999996</v>
      </c>
      <c r="N296" s="128">
        <f t="shared" si="166"/>
        <v>1039.7299999999996</v>
      </c>
      <c r="O296" s="126"/>
    </row>
    <row r="297" spans="1:15" ht="31.5" hidden="1">
      <c r="A297" s="158" t="s">
        <v>214</v>
      </c>
      <c r="B297" s="152" t="s">
        <v>176</v>
      </c>
      <c r="C297" s="128"/>
      <c r="D297" s="128"/>
      <c r="E297" s="128"/>
      <c r="F297" s="128"/>
      <c r="G297" s="128"/>
      <c r="H297" s="133"/>
      <c r="I297" s="133"/>
      <c r="J297" s="128"/>
      <c r="K297" s="128"/>
      <c r="L297" s="128"/>
      <c r="M297" s="127">
        <f t="shared" si="165"/>
        <v>0</v>
      </c>
      <c r="N297" s="126">
        <f>M297</f>
        <v>0</v>
      </c>
      <c r="O297" s="126">
        <f>M297</f>
        <v>0</v>
      </c>
    </row>
    <row r="298" spans="1:15" s="132" customFormat="1" ht="17.25" hidden="1">
      <c r="A298" s="135" t="s">
        <v>214</v>
      </c>
      <c r="B298" s="134" t="s">
        <v>175</v>
      </c>
      <c r="C298" s="133">
        <f t="shared" ref="C298:L298" si="167">C299</f>
        <v>0</v>
      </c>
      <c r="D298" s="133">
        <f t="shared" si="167"/>
        <v>0</v>
      </c>
      <c r="E298" s="133">
        <f t="shared" si="167"/>
        <v>0</v>
      </c>
      <c r="F298" s="133">
        <f t="shared" si="167"/>
        <v>0</v>
      </c>
      <c r="G298" s="133">
        <f t="shared" si="167"/>
        <v>0</v>
      </c>
      <c r="H298" s="133">
        <f t="shared" si="167"/>
        <v>0</v>
      </c>
      <c r="I298" s="133">
        <f t="shared" si="167"/>
        <v>0</v>
      </c>
      <c r="J298" s="133">
        <f t="shared" si="167"/>
        <v>0</v>
      </c>
      <c r="K298" s="133">
        <f t="shared" si="167"/>
        <v>0</v>
      </c>
      <c r="L298" s="133">
        <f t="shared" si="167"/>
        <v>0</v>
      </c>
      <c r="M298" s="127">
        <f t="shared" si="165"/>
        <v>0</v>
      </c>
      <c r="N298" s="126"/>
      <c r="O298" s="126">
        <f>M298</f>
        <v>0</v>
      </c>
    </row>
    <row r="299" spans="1:15" hidden="1">
      <c r="A299" s="131"/>
      <c r="B299" s="130"/>
      <c r="C299" s="129"/>
      <c r="D299" s="128"/>
      <c r="E299" s="128"/>
      <c r="F299" s="128"/>
      <c r="G299" s="128"/>
      <c r="H299" s="128"/>
      <c r="I299" s="128"/>
      <c r="J299" s="128"/>
      <c r="K299" s="128"/>
      <c r="L299" s="128"/>
      <c r="M299" s="127"/>
      <c r="N299" s="126"/>
      <c r="O299" s="126"/>
    </row>
    <row r="300" spans="1:15">
      <c r="C300" s="125"/>
      <c r="D300" s="125"/>
      <c r="E300" s="125"/>
      <c r="F300" s="125"/>
      <c r="G300" s="125"/>
      <c r="H300" s="125">
        <f t="shared" ref="H300:O300" si="168">H29+H34+H39+H54+H69+H83+H92+H101+H109+H124+H137+H152+H175+H183+H193+H199+H215+H227+H245+H254+H268+H281</f>
        <v>0</v>
      </c>
      <c r="I300" s="125">
        <f t="shared" si="168"/>
        <v>0</v>
      </c>
      <c r="J300" s="125"/>
      <c r="K300" s="125"/>
      <c r="L300" s="125"/>
      <c r="M300" s="125">
        <f t="shared" si="168"/>
        <v>151480.05289999995</v>
      </c>
      <c r="N300" s="125"/>
      <c r="O300" s="125">
        <f t="shared" si="168"/>
        <v>107136.93989999998</v>
      </c>
    </row>
  </sheetData>
  <autoFilter ref="A6:O298">
    <filterColumn colId="0">
      <filters>
        <filter val="+"/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3"/>
        <filter val="4"/>
        <filter val="5"/>
        <filter val="6"/>
        <filter val="7"/>
        <filter val="8"/>
        <filter val="9"/>
        <filter val="A"/>
        <filter val="B"/>
      </filters>
    </filterColumn>
  </autoFilter>
  <mergeCells count="11">
    <mergeCell ref="M3:M4"/>
    <mergeCell ref="A1:O1"/>
    <mergeCell ref="I2:M2"/>
    <mergeCell ref="A3:A4"/>
    <mergeCell ref="B3:B4"/>
    <mergeCell ref="C3:C4"/>
    <mergeCell ref="D3:D4"/>
    <mergeCell ref="E3:E4"/>
    <mergeCell ref="F3:F4"/>
    <mergeCell ref="G3:L3"/>
    <mergeCell ref="N3:N4"/>
  </mergeCells>
  <pageMargins left="0.39370078740157499" right="0.196850393700787" top="0.73" bottom="0.43307086614173201" header="0.23622047244094499" footer="0.196850393700787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37"/>
  <sheetViews>
    <sheetView zoomScale="70" zoomScaleNormal="70" workbookViewId="0">
      <pane xSplit="2" ySplit="6" topLeftCell="C7" activePane="bottomRight" state="frozen"/>
      <selection activeCell="D7" sqref="D7:F7"/>
      <selection pane="topRight" activeCell="D7" sqref="D7:F7"/>
      <selection pane="bottomLeft" activeCell="D7" sqref="D7:F7"/>
      <selection pane="bottomRight" activeCell="A3" sqref="A3:K3"/>
    </sheetView>
  </sheetViews>
  <sheetFormatPr defaultRowHeight="16.5"/>
  <cols>
    <col min="1" max="1" width="9.88671875" style="3" customWidth="1"/>
    <col min="2" max="2" width="28.77734375" style="1" customWidth="1"/>
    <col min="3" max="3" width="12.21875" style="2" customWidth="1"/>
    <col min="4" max="5" width="11.109375" style="2" customWidth="1"/>
    <col min="6" max="6" width="13.109375" style="2" customWidth="1"/>
    <col min="7" max="7" width="11.33203125" style="2" customWidth="1"/>
    <col min="8" max="8" width="8.88671875" style="2" customWidth="1"/>
    <col min="9" max="9" width="10.6640625" style="2" customWidth="1"/>
    <col min="10" max="10" width="10" style="2" customWidth="1"/>
    <col min="11" max="11" width="8.88671875" style="2" customWidth="1"/>
    <col min="12" max="16384" width="8.88671875" style="1"/>
  </cols>
  <sheetData>
    <row r="1" spans="1:11" ht="17.25" customHeight="1"/>
    <row r="2" spans="1:11" ht="21" customHeight="1">
      <c r="A2" s="254" t="s">
        <v>410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21" customHeight="1">
      <c r="A3" s="257" t="s">
        <v>432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16.5" customHeight="1">
      <c r="J4" s="263" t="s">
        <v>26</v>
      </c>
      <c r="K4" s="263"/>
    </row>
    <row r="5" spans="1:11" s="21" customFormat="1" ht="30.75" customHeight="1">
      <c r="A5" s="255" t="s">
        <v>25</v>
      </c>
      <c r="B5" s="255" t="s">
        <v>24</v>
      </c>
      <c r="C5" s="256" t="s">
        <v>22</v>
      </c>
      <c r="D5" s="256"/>
      <c r="E5" s="256"/>
      <c r="F5" s="256" t="s">
        <v>127</v>
      </c>
      <c r="G5" s="256"/>
      <c r="H5" s="256"/>
      <c r="I5" s="256" t="s">
        <v>170</v>
      </c>
      <c r="J5" s="256"/>
      <c r="K5" s="256"/>
    </row>
    <row r="6" spans="1:11" s="21" customFormat="1" ht="54" customHeight="1">
      <c r="A6" s="255"/>
      <c r="B6" s="255"/>
      <c r="C6" s="22" t="s">
        <v>20</v>
      </c>
      <c r="D6" s="22" t="s">
        <v>19</v>
      </c>
      <c r="E6" s="22" t="s">
        <v>18</v>
      </c>
      <c r="F6" s="22" t="s">
        <v>20</v>
      </c>
      <c r="G6" s="22" t="s">
        <v>19</v>
      </c>
      <c r="H6" s="22" t="s">
        <v>18</v>
      </c>
      <c r="I6" s="22" t="s">
        <v>20</v>
      </c>
      <c r="J6" s="22" t="s">
        <v>19</v>
      </c>
      <c r="K6" s="22" t="s">
        <v>18</v>
      </c>
    </row>
    <row r="7" spans="1:11" s="15" customFormat="1" ht="21" customHeight="1">
      <c r="A7" s="19"/>
      <c r="B7" s="16" t="s">
        <v>17</v>
      </c>
      <c r="C7" s="20">
        <f t="shared" ref="C7:K7" si="0">+C8+C21+C22+C23</f>
        <v>1643252.1184873646</v>
      </c>
      <c r="D7" s="20">
        <f t="shared" si="0"/>
        <v>1218244.4198899255</v>
      </c>
      <c r="E7" s="17">
        <f t="shared" si="0"/>
        <v>237726.72559743896</v>
      </c>
      <c r="F7" s="20">
        <f>+F8+F21+F22+F23</f>
        <v>1407169.2016309998</v>
      </c>
      <c r="G7" s="20">
        <f>+G8+G21+G22+G23</f>
        <v>1129059.7543040002</v>
      </c>
      <c r="H7" s="17">
        <f t="shared" si="0"/>
        <v>187780.61532700001</v>
      </c>
      <c r="I7" s="20">
        <f t="shared" si="0"/>
        <v>947950.51348736463</v>
      </c>
      <c r="J7" s="20">
        <f t="shared" si="0"/>
        <v>724955.51988992561</v>
      </c>
      <c r="K7" s="17">
        <f t="shared" si="0"/>
        <v>125560.92559743897</v>
      </c>
    </row>
    <row r="8" spans="1:11" s="15" customFormat="1" ht="18.75">
      <c r="A8" s="19" t="s">
        <v>16</v>
      </c>
      <c r="B8" s="16" t="s">
        <v>15</v>
      </c>
      <c r="C8" s="17">
        <f t="shared" ref="C8:K8" si="1">SUMIF($A$9:$A$20,"&gt;0",C9:C20)</f>
        <v>1054300.1184873646</v>
      </c>
      <c r="D8" s="17">
        <f t="shared" si="1"/>
        <v>746832.41988992563</v>
      </c>
      <c r="E8" s="17">
        <f t="shared" si="1"/>
        <v>120186.72559743896</v>
      </c>
      <c r="F8" s="17">
        <f t="shared" si="1"/>
        <v>500679.83199999999</v>
      </c>
      <c r="G8" s="17">
        <f t="shared" si="1"/>
        <v>350039</v>
      </c>
      <c r="H8" s="17">
        <f t="shared" si="1"/>
        <v>60312</v>
      </c>
      <c r="I8" s="17">
        <f t="shared" si="1"/>
        <v>556681.51348736463</v>
      </c>
      <c r="J8" s="17">
        <f t="shared" si="1"/>
        <v>396793.51988992566</v>
      </c>
      <c r="K8" s="17">
        <f t="shared" si="1"/>
        <v>62453.92559743896</v>
      </c>
    </row>
    <row r="9" spans="1:11" s="9" customFormat="1" ht="18.75">
      <c r="A9" s="12">
        <v>1</v>
      </c>
      <c r="B9" s="10" t="s">
        <v>14</v>
      </c>
      <c r="C9" s="14">
        <v>43600</v>
      </c>
      <c r="D9" s="13">
        <v>40077</v>
      </c>
      <c r="E9" s="13">
        <v>3523</v>
      </c>
      <c r="F9" s="13">
        <f>VLOOKUP($B9,'DT THU 2023'!$B$9:$M$27,10,0)</f>
        <v>21826</v>
      </c>
      <c r="G9" s="13">
        <f>VLOOKUP($B9,'DT THU 2023'!$B$9:$M$27,11,0)</f>
        <v>19991</v>
      </c>
      <c r="H9" s="13">
        <f>VLOOKUP($B9,'DT THU 2023'!$B$9:$M$27,12,0)</f>
        <v>1835</v>
      </c>
      <c r="I9" s="13">
        <f t="shared" ref="I9:K20" si="2">IF(F9&gt;C9,ROUND(F9*0.3,0),C9-F9)</f>
        <v>21774</v>
      </c>
      <c r="J9" s="13">
        <f t="shared" si="2"/>
        <v>20086</v>
      </c>
      <c r="K9" s="13">
        <f t="shared" si="2"/>
        <v>1688</v>
      </c>
    </row>
    <row r="10" spans="1:11" s="9" customFormat="1" ht="18.75">
      <c r="A10" s="12">
        <v>2</v>
      </c>
      <c r="B10" s="10" t="s">
        <v>13</v>
      </c>
      <c r="C10" s="14">
        <v>23000.145487364633</v>
      </c>
      <c r="D10" s="13">
        <v>10798.419889925675</v>
      </c>
      <c r="E10" s="13">
        <v>11801.725597438957</v>
      </c>
      <c r="F10" s="13">
        <f>VLOOKUP($B10,'DT THU 2023'!$B$9:$M$27,10,0)</f>
        <v>14100</v>
      </c>
      <c r="G10" s="13">
        <f>VLOOKUP($B10,'DT THU 2023'!$B$9:$M$27,11,0)</f>
        <v>6099</v>
      </c>
      <c r="H10" s="13">
        <f>VLOOKUP($B10,'DT THU 2023'!$B$9:$M$27,12,0)</f>
        <v>6939</v>
      </c>
      <c r="I10" s="13">
        <f t="shared" si="2"/>
        <v>8900.1454873646326</v>
      </c>
      <c r="J10" s="13">
        <f t="shared" si="2"/>
        <v>4699.4198899256753</v>
      </c>
      <c r="K10" s="13">
        <f t="shared" si="2"/>
        <v>4862.7255974389573</v>
      </c>
    </row>
    <row r="11" spans="1:11" s="9" customFormat="1" ht="18.75">
      <c r="A11" s="12">
        <v>3</v>
      </c>
      <c r="B11" s="10" t="s">
        <v>12</v>
      </c>
      <c r="C11" s="14">
        <v>52000</v>
      </c>
      <c r="D11" s="13">
        <v>47000</v>
      </c>
      <c r="E11" s="13">
        <v>5000</v>
      </c>
      <c r="F11" s="13">
        <f>VLOOKUP($B11,'DT THU 2023'!$B$9:$M$27,10,0)</f>
        <v>26000</v>
      </c>
      <c r="G11" s="13">
        <f>VLOOKUP($B11,'DT THU 2023'!$B$9:$M$27,11,0)</f>
        <v>21836</v>
      </c>
      <c r="H11" s="13">
        <f>VLOOKUP($B11,'DT THU 2023'!$B$9:$M$27,12,0)</f>
        <v>4164</v>
      </c>
      <c r="I11" s="13">
        <f t="shared" si="2"/>
        <v>26000</v>
      </c>
      <c r="J11" s="13">
        <f t="shared" si="2"/>
        <v>25164</v>
      </c>
      <c r="K11" s="13">
        <f t="shared" si="2"/>
        <v>836</v>
      </c>
    </row>
    <row r="12" spans="1:11" s="9" customFormat="1" ht="18.75">
      <c r="A12" s="12">
        <v>4</v>
      </c>
      <c r="B12" s="10" t="s">
        <v>11</v>
      </c>
      <c r="C12" s="14">
        <v>4700</v>
      </c>
      <c r="D12" s="13"/>
      <c r="E12" s="13">
        <v>4700</v>
      </c>
      <c r="F12" s="13">
        <f>VLOOKUP($B12,'DT THU 2023'!$B$9:$M$27,10,0)</f>
        <v>222</v>
      </c>
      <c r="G12" s="13">
        <f>VLOOKUP($B12,'DT THU 2023'!$B$9:$M$27,11,0)</f>
        <v>0</v>
      </c>
      <c r="H12" s="13">
        <f>VLOOKUP($B12,'DT THU 2023'!$B$9:$M$27,12,0)</f>
        <v>222</v>
      </c>
      <c r="I12" s="13">
        <f t="shared" si="2"/>
        <v>4478</v>
      </c>
      <c r="J12" s="13">
        <f t="shared" si="2"/>
        <v>0</v>
      </c>
      <c r="K12" s="13">
        <f t="shared" si="2"/>
        <v>4478</v>
      </c>
    </row>
    <row r="13" spans="1:11" s="9" customFormat="1" ht="18.75">
      <c r="A13" s="12">
        <v>5</v>
      </c>
      <c r="B13" s="10" t="s">
        <v>10</v>
      </c>
      <c r="C13" s="14">
        <v>4999.9729999999954</v>
      </c>
      <c r="D13" s="13">
        <v>1757</v>
      </c>
      <c r="E13" s="13">
        <v>2362</v>
      </c>
      <c r="F13" s="13">
        <f>VLOOKUP($B13,'DT THU 2023'!$B$9:$M$27,10,0)</f>
        <v>6162</v>
      </c>
      <c r="G13" s="13">
        <f>VLOOKUP($B13,'DT THU 2023'!$B$9:$M$27,11,0)</f>
        <v>1796</v>
      </c>
      <c r="H13" s="13">
        <f>VLOOKUP($B13,'DT THU 2023'!$B$9:$M$27,12,0)</f>
        <v>3787</v>
      </c>
      <c r="I13" s="13">
        <f>+'thu phí,lệ phí, khac 6 tháng CN'!G7</f>
        <v>1341.2</v>
      </c>
      <c r="J13" s="13">
        <f>+'thu phí,lệ phí, khac 6 tháng CN'!H7</f>
        <v>234.10000000000002</v>
      </c>
      <c r="K13" s="13">
        <f>+I13-666</f>
        <v>675.2</v>
      </c>
    </row>
    <row r="14" spans="1:11" s="9" customFormat="1" ht="18.75">
      <c r="A14" s="12">
        <v>6</v>
      </c>
      <c r="B14" s="10" t="s">
        <v>9</v>
      </c>
      <c r="C14" s="14">
        <v>5000</v>
      </c>
      <c r="D14" s="13">
        <v>5000</v>
      </c>
      <c r="E14" s="13"/>
      <c r="F14" s="13">
        <f>VLOOKUP($B14,'DT THU 2023'!$B$9:$M$27,10,0)</f>
        <v>2500</v>
      </c>
      <c r="G14" s="13">
        <f>VLOOKUP($B14,'DT THU 2023'!$B$9:$M$27,11,0)</f>
        <v>2500</v>
      </c>
      <c r="H14" s="13"/>
      <c r="I14" s="13">
        <f t="shared" si="2"/>
        <v>2500</v>
      </c>
      <c r="J14" s="13">
        <f t="shared" si="2"/>
        <v>2500</v>
      </c>
      <c r="K14" s="13">
        <f t="shared" si="2"/>
        <v>0</v>
      </c>
    </row>
    <row r="15" spans="1:11" s="9" customFormat="1" ht="18.75">
      <c r="A15" s="12">
        <v>7</v>
      </c>
      <c r="B15" s="10" t="s">
        <v>8</v>
      </c>
      <c r="C15" s="14">
        <v>17000</v>
      </c>
      <c r="D15" s="13">
        <v>11000</v>
      </c>
      <c r="E15" s="13"/>
      <c r="F15" s="13">
        <f>VLOOKUP($B15,'DT THU 2023'!$B$9:$M$27,10,0)</f>
        <v>9683</v>
      </c>
      <c r="G15" s="13">
        <f>VLOOKUP($B15,'DT THU 2023'!$B$9:$M$27,11,0)</f>
        <v>5440</v>
      </c>
      <c r="H15" s="13"/>
      <c r="I15" s="13">
        <f>+'thu phí,lệ phí, khac 6 tháng CN'!G16</f>
        <v>7317</v>
      </c>
      <c r="J15" s="13">
        <f>+'thu phí,lệ phí, khac 6 tháng CN'!H16</f>
        <v>5560</v>
      </c>
      <c r="K15" s="13">
        <f t="shared" si="2"/>
        <v>0</v>
      </c>
    </row>
    <row r="16" spans="1:11" s="9" customFormat="1" ht="18.75">
      <c r="A16" s="12">
        <v>8</v>
      </c>
      <c r="B16" s="10" t="s">
        <v>7</v>
      </c>
      <c r="C16" s="14">
        <v>2800</v>
      </c>
      <c r="D16" s="13"/>
      <c r="E16" s="13">
        <v>2800</v>
      </c>
      <c r="F16" s="13">
        <f>VLOOKUP($B16,'DT THU 2023'!$B$9:$M$27,10,0)</f>
        <v>1160</v>
      </c>
      <c r="G16" s="13">
        <f>VLOOKUP($B16,'DT THU 2023'!$B$9:$M$27,11,0)</f>
        <v>0</v>
      </c>
      <c r="H16" s="13">
        <f>VLOOKUP($B16,'DT THU 2023'!$B$9:$M$27,12,0)</f>
        <v>1160</v>
      </c>
      <c r="I16" s="13">
        <f t="shared" si="2"/>
        <v>1640</v>
      </c>
      <c r="J16" s="13">
        <f t="shared" si="2"/>
        <v>0</v>
      </c>
      <c r="K16" s="13">
        <f t="shared" si="2"/>
        <v>1640</v>
      </c>
    </row>
    <row r="17" spans="1:11" s="9" customFormat="1" ht="18.75">
      <c r="A17" s="12">
        <v>9</v>
      </c>
      <c r="B17" s="10" t="s">
        <v>6</v>
      </c>
      <c r="C17" s="14">
        <v>1200</v>
      </c>
      <c r="D17" s="14">
        <v>1200</v>
      </c>
      <c r="E17" s="13"/>
      <c r="F17" s="13">
        <f>VLOOKUP($B17,'DT THU 2023'!$B$9:$M$27,10,0)</f>
        <v>33</v>
      </c>
      <c r="G17" s="13">
        <f>VLOOKUP($B17,'DT THU 2023'!$B$9:$M$27,11,0)</f>
        <v>20</v>
      </c>
      <c r="H17" s="13">
        <f>VLOOKUP($B17,'DT THU 2023'!$B$9:$M$27,12,0)</f>
        <v>13</v>
      </c>
      <c r="I17" s="13">
        <f>+J17+K17</f>
        <v>911</v>
      </c>
      <c r="J17" s="13">
        <f>IF(G17&gt;D17,ROUND(G17*0.3,0),D17-G17)-273</f>
        <v>907</v>
      </c>
      <c r="K17" s="13">
        <f t="shared" si="2"/>
        <v>4</v>
      </c>
    </row>
    <row r="18" spans="1:11" s="9" customFormat="1" ht="18.75">
      <c r="A18" s="12">
        <v>10</v>
      </c>
      <c r="B18" s="10" t="s">
        <v>407</v>
      </c>
      <c r="C18" s="14">
        <v>900000</v>
      </c>
      <c r="D18" s="13">
        <v>630000</v>
      </c>
      <c r="E18" s="13">
        <v>90000</v>
      </c>
      <c r="F18" s="13">
        <f>VLOOKUP($B18,'DT THU 2023'!$B$9:$M$27,10,0)</f>
        <v>418367.83199999999</v>
      </c>
      <c r="G18" s="13">
        <f>VLOOKUP($B18,'DT THU 2023'!$B$9:$M$27,11,0)</f>
        <v>292357</v>
      </c>
      <c r="H18" s="13">
        <f>VLOOKUP($B18,'DT THU 2023'!$B$9:$M$27,12,0)</f>
        <v>41837</v>
      </c>
      <c r="I18" s="13">
        <f t="shared" si="2"/>
        <v>481632.16800000001</v>
      </c>
      <c r="J18" s="13">
        <f>+D18-G18</f>
        <v>337643</v>
      </c>
      <c r="K18" s="13">
        <f>+E18-H18</f>
        <v>48163</v>
      </c>
    </row>
    <row r="19" spans="1:11" s="9" customFormat="1" ht="37.5">
      <c r="A19" s="12">
        <v>11</v>
      </c>
      <c r="B19" s="10" t="s">
        <v>132</v>
      </c>
      <c r="C19" s="14"/>
      <c r="D19" s="13"/>
      <c r="E19" s="13"/>
      <c r="F19" s="13">
        <f>VLOOKUP($B19,'DT THU 2023'!$B$9:$M$27,10,0)</f>
        <v>271</v>
      </c>
      <c r="G19" s="13"/>
      <c r="H19" s="13"/>
      <c r="I19" s="13">
        <f t="shared" si="2"/>
        <v>81</v>
      </c>
      <c r="J19" s="13">
        <f t="shared" si="2"/>
        <v>0</v>
      </c>
      <c r="K19" s="13">
        <f t="shared" si="2"/>
        <v>0</v>
      </c>
    </row>
    <row r="20" spans="1:11" s="9" customFormat="1" ht="18.75">
      <c r="A20" s="12">
        <v>12</v>
      </c>
      <c r="B20" s="10" t="s">
        <v>133</v>
      </c>
      <c r="C20" s="14"/>
      <c r="D20" s="13"/>
      <c r="E20" s="13"/>
      <c r="F20" s="13">
        <f>VLOOKUP($B20,'DT THU 2023'!$B$9:$M$27,10,0)</f>
        <v>355</v>
      </c>
      <c r="G20" s="13"/>
      <c r="H20" s="13">
        <f>VLOOKUP($B20,'DT THU 2023'!$B$9:$M$27,12,0)</f>
        <v>355</v>
      </c>
      <c r="I20" s="13">
        <f t="shared" si="2"/>
        <v>107</v>
      </c>
      <c r="J20" s="13">
        <f t="shared" si="2"/>
        <v>0</v>
      </c>
      <c r="K20" s="13">
        <f t="shared" si="2"/>
        <v>107</v>
      </c>
    </row>
    <row r="21" spans="1:11" s="21" customFormat="1" ht="18.75">
      <c r="A21" s="19" t="s">
        <v>5</v>
      </c>
      <c r="B21" s="82" t="s">
        <v>135</v>
      </c>
      <c r="C21" s="81"/>
      <c r="D21" s="81"/>
      <c r="E21" s="81"/>
      <c r="F21" s="17">
        <f>SUM(G21:H21)</f>
        <v>542501.411631</v>
      </c>
      <c r="G21" s="81">
        <f>VLOOKUP($B21,'DT THU 2023'!$B$9:$M$27,11,0)</f>
        <v>473803.79630400002</v>
      </c>
      <c r="H21" s="81">
        <f>VLOOKUP($B21,'DT THU 2023'!$B$9:$M$27,12,0)</f>
        <v>68697.615327000007</v>
      </c>
      <c r="I21" s="81"/>
      <c r="J21" s="81"/>
      <c r="K21" s="81"/>
    </row>
    <row r="22" spans="1:11" s="15" customFormat="1" ht="28.5" customHeight="1">
      <c r="A22" s="19" t="s">
        <v>134</v>
      </c>
      <c r="B22" s="83" t="s">
        <v>136</v>
      </c>
      <c r="C22" s="84"/>
      <c r="D22" s="18"/>
      <c r="E22" s="17"/>
      <c r="F22" s="13">
        <f>VLOOKUP($B22,'DT THU 2023'!$B$9:$M$27,10,0)</f>
        <v>130.958</v>
      </c>
      <c r="G22" s="18">
        <v>130.958</v>
      </c>
      <c r="H22" s="17">
        <f>VLOOKUP($B22,'DT THU 2023'!$B$9:$M$27,12,0)</f>
        <v>0</v>
      </c>
      <c r="I22" s="18"/>
      <c r="J22" s="18"/>
      <c r="K22" s="18">
        <f t="shared" ref="K22:K27" si="3">IF(H22&gt;E22,ROUND(H22*0.1,0),E22-H22)</f>
        <v>0</v>
      </c>
    </row>
    <row r="23" spans="1:11" s="15" customFormat="1" ht="18.75">
      <c r="A23" s="19" t="s">
        <v>98</v>
      </c>
      <c r="B23" s="16" t="s">
        <v>4</v>
      </c>
      <c r="C23" s="18">
        <f>SUM(C24:C25)</f>
        <v>588952</v>
      </c>
      <c r="D23" s="18">
        <f t="shared" ref="D23:K23" si="4">SUM(D24:D25)</f>
        <v>471412</v>
      </c>
      <c r="E23" s="18">
        <f t="shared" si="4"/>
        <v>117540</v>
      </c>
      <c r="F23" s="18">
        <f t="shared" si="4"/>
        <v>363857</v>
      </c>
      <c r="G23" s="18">
        <f t="shared" si="4"/>
        <v>305086</v>
      </c>
      <c r="H23" s="18">
        <f t="shared" si="4"/>
        <v>58771</v>
      </c>
      <c r="I23" s="18">
        <f t="shared" si="4"/>
        <v>391269</v>
      </c>
      <c r="J23" s="18">
        <f t="shared" si="4"/>
        <v>328162</v>
      </c>
      <c r="K23" s="18">
        <f t="shared" si="4"/>
        <v>63107</v>
      </c>
    </row>
    <row r="24" spans="1:11" s="9" customFormat="1" ht="18.75">
      <c r="A24" s="12"/>
      <c r="B24" s="10" t="s">
        <v>3</v>
      </c>
      <c r="C24" s="14">
        <f>SUM(D24:E24)</f>
        <v>559907</v>
      </c>
      <c r="D24" s="13">
        <f>462127+1145-600</f>
        <v>462672</v>
      </c>
      <c r="E24" s="13">
        <f>97780+600-1145</f>
        <v>97235</v>
      </c>
      <c r="F24" s="14">
        <f t="shared" ref="F24:F27" si="5">SUM(G24:H24)</f>
        <v>328572</v>
      </c>
      <c r="G24" s="13">
        <f>VLOOKUP($B24,'DT THU 2023'!$B$9:$M$27,11,0)</f>
        <v>279954</v>
      </c>
      <c r="H24" s="13">
        <f>VLOOKUP($B24,'DT THU 2023'!$B$9:$M$27,12,0)</f>
        <v>48618</v>
      </c>
      <c r="I24" s="14">
        <f>SUM(J24:K24)</f>
        <v>328570</v>
      </c>
      <c r="J24" s="13">
        <f>+C24-G24</f>
        <v>279953</v>
      </c>
      <c r="K24" s="13">
        <f t="shared" si="3"/>
        <v>48617</v>
      </c>
    </row>
    <row r="25" spans="1:11" s="9" customFormat="1" ht="18.75">
      <c r="A25" s="12"/>
      <c r="B25" s="11" t="s">
        <v>2</v>
      </c>
      <c r="C25" s="5">
        <f>SUM(C26:C27)</f>
        <v>29045</v>
      </c>
      <c r="D25" s="5">
        <f>SUM(D26:D27)</f>
        <v>8740</v>
      </c>
      <c r="E25" s="5">
        <f>SUM(E26:E27)</f>
        <v>20305</v>
      </c>
      <c r="F25" s="14">
        <f t="shared" si="5"/>
        <v>35285</v>
      </c>
      <c r="G25" s="5">
        <f>VLOOKUP($B25,'DT THU 2023'!$B$9:$M$27,11,0)</f>
        <v>25132</v>
      </c>
      <c r="H25" s="5">
        <f>VLOOKUP($B25,'DT THU 2023'!$B$9:$M$27,12,0)</f>
        <v>10153</v>
      </c>
      <c r="I25" s="14">
        <f t="shared" ref="I25:I27" si="6">SUM(J25:K25)</f>
        <v>62699</v>
      </c>
      <c r="J25" s="5">
        <f>44296+C25-G25</f>
        <v>48209</v>
      </c>
      <c r="K25" s="5">
        <f>+E25-H25+4338</f>
        <v>14490</v>
      </c>
    </row>
    <row r="26" spans="1:11" s="2" customFormat="1" ht="16.5" customHeight="1">
      <c r="A26" s="8"/>
      <c r="B26" s="7" t="s">
        <v>1</v>
      </c>
      <c r="C26" s="5">
        <f>SUM(D26:E26)</f>
        <v>19717</v>
      </c>
      <c r="D26" s="4">
        <v>8740</v>
      </c>
      <c r="E26" s="4">
        <f>+[1]MT!D7</f>
        <v>10977</v>
      </c>
      <c r="F26" s="14">
        <f t="shared" si="5"/>
        <v>5489</v>
      </c>
      <c r="G26" s="4">
        <f>VLOOKUP($B26,'DT THU 2023'!$B$9:$M$27,11,0)</f>
        <v>0</v>
      </c>
      <c r="H26" s="4">
        <f>VLOOKUP($B26,'DT THU 2023'!$B$9:$M$27,12,0)</f>
        <v>5489</v>
      </c>
      <c r="I26" s="14">
        <f t="shared" si="6"/>
        <v>58035</v>
      </c>
      <c r="J26" s="4">
        <f>44296+C25-G25</f>
        <v>48209</v>
      </c>
      <c r="K26" s="4">
        <f>+K25-K27</f>
        <v>9826</v>
      </c>
    </row>
    <row r="27" spans="1:11" ht="18.75">
      <c r="A27" s="8"/>
      <c r="B27" s="7" t="s">
        <v>0</v>
      </c>
      <c r="C27" s="5">
        <f>SUM(D27:E27)</f>
        <v>9328</v>
      </c>
      <c r="D27" s="4"/>
      <c r="E27" s="4">
        <f>+[1]MT!G7</f>
        <v>9328</v>
      </c>
      <c r="F27" s="14">
        <f t="shared" si="5"/>
        <v>4664</v>
      </c>
      <c r="G27" s="4">
        <f>VLOOKUP($B27,'DT THU 2023'!$B$9:$M$27,11,0)</f>
        <v>0</v>
      </c>
      <c r="H27" s="4">
        <f>VLOOKUP($B27,'DT THU 2023'!$B$9:$M$27,12,0)</f>
        <v>4664</v>
      </c>
      <c r="I27" s="14">
        <f t="shared" si="6"/>
        <v>4664</v>
      </c>
      <c r="J27" s="4">
        <f t="shared" ref="J27" si="7">IF(G27&gt;D27,ROUND(G27*0.1,0),D27-G27)</f>
        <v>0</v>
      </c>
      <c r="K27" s="4">
        <f t="shared" si="3"/>
        <v>4664</v>
      </c>
    </row>
    <row r="37" spans="1:2" s="2" customFormat="1">
      <c r="A37" s="3"/>
      <c r="B37" s="1"/>
    </row>
  </sheetData>
  <mergeCells count="8">
    <mergeCell ref="J4:K4"/>
    <mergeCell ref="A2:K2"/>
    <mergeCell ref="A3:K3"/>
    <mergeCell ref="A5:A6"/>
    <mergeCell ref="B5:B6"/>
    <mergeCell ref="C5:E5"/>
    <mergeCell ref="F5:H5"/>
    <mergeCell ref="I5:K5"/>
  </mergeCells>
  <pageMargins left="0.75" right="0.5" top="0.9" bottom="0.47" header="0.3" footer="0.3"/>
  <pageSetup paperSize="9" scale="7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0" zoomScaleNormal="70" workbookViewId="0">
      <pane xSplit="2" ySplit="6" topLeftCell="C7" activePane="bottomRight" state="frozen"/>
      <selection activeCell="D7" sqref="D7:F7"/>
      <selection pane="topRight" activeCell="D7" sqref="D7:F7"/>
      <selection pane="bottomLeft" activeCell="D7" sqref="D7:F7"/>
      <selection pane="bottomRight" activeCell="A3" sqref="A3:I3"/>
    </sheetView>
  </sheetViews>
  <sheetFormatPr defaultRowHeight="18.75"/>
  <cols>
    <col min="1" max="1" width="5.21875" style="25" customWidth="1"/>
    <col min="2" max="2" width="39.44140625" style="23" customWidth="1"/>
    <col min="3" max="3" width="16" style="24" customWidth="1"/>
    <col min="4" max="8" width="13.5546875" style="24" customWidth="1"/>
    <col min="9" max="9" width="34.109375" style="23" customWidth="1"/>
    <col min="10" max="16384" width="8.88671875" style="23"/>
  </cols>
  <sheetData>
    <row r="1" spans="1:9">
      <c r="D1" s="275" t="s">
        <v>79</v>
      </c>
      <c r="E1" s="275"/>
      <c r="F1" s="275"/>
      <c r="G1" s="275"/>
      <c r="H1" s="275"/>
      <c r="I1" s="275"/>
    </row>
    <row r="2" spans="1:9" ht="30" customHeight="1">
      <c r="A2" s="276" t="s">
        <v>411</v>
      </c>
      <c r="B2" s="276"/>
      <c r="C2" s="276"/>
      <c r="D2" s="276"/>
      <c r="E2" s="276"/>
      <c r="F2" s="276"/>
      <c r="G2" s="276"/>
      <c r="H2" s="276"/>
      <c r="I2" s="276"/>
    </row>
    <row r="3" spans="1:9">
      <c r="A3" s="277" t="str">
        <f>+'tien dat 2023'!A2</f>
        <v>(Kèm theo Báo cáo số             /BC-UBND ngày      /7   /2023 của UBND huyện)</v>
      </c>
      <c r="B3" s="277"/>
      <c r="C3" s="277"/>
      <c r="D3" s="277"/>
      <c r="E3" s="277"/>
      <c r="F3" s="277"/>
      <c r="G3" s="277"/>
      <c r="H3" s="277"/>
      <c r="I3" s="277"/>
    </row>
    <row r="4" spans="1:9">
      <c r="C4" s="58"/>
      <c r="D4" s="58"/>
      <c r="E4" s="58"/>
      <c r="F4" s="58"/>
      <c r="G4" s="58"/>
      <c r="H4" s="58"/>
      <c r="I4" s="57" t="s">
        <v>26</v>
      </c>
    </row>
    <row r="5" spans="1:9" s="55" customFormat="1" ht="71.25" customHeight="1">
      <c r="A5" s="273" t="s">
        <v>25</v>
      </c>
      <c r="B5" s="273" t="s">
        <v>77</v>
      </c>
      <c r="C5" s="278" t="s">
        <v>76</v>
      </c>
      <c r="D5" s="279"/>
      <c r="E5" s="271" t="s">
        <v>140</v>
      </c>
      <c r="F5" s="272"/>
      <c r="G5" s="271" t="s">
        <v>170</v>
      </c>
      <c r="H5" s="272"/>
      <c r="I5" s="273" t="s">
        <v>75</v>
      </c>
    </row>
    <row r="6" spans="1:9" s="55" customFormat="1" ht="41.25" customHeight="1">
      <c r="A6" s="274"/>
      <c r="B6" s="274"/>
      <c r="C6" s="56" t="s">
        <v>50</v>
      </c>
      <c r="D6" s="56" t="s">
        <v>74</v>
      </c>
      <c r="E6" s="56" t="s">
        <v>50</v>
      </c>
      <c r="F6" s="56" t="s">
        <v>74</v>
      </c>
      <c r="G6" s="56" t="s">
        <v>50</v>
      </c>
      <c r="H6" s="56" t="s">
        <v>74</v>
      </c>
      <c r="I6" s="274"/>
    </row>
    <row r="7" spans="1:9" s="46" customFormat="1" ht="29.25" customHeight="1">
      <c r="A7" s="54" t="s">
        <v>16</v>
      </c>
      <c r="B7" s="53" t="s">
        <v>73</v>
      </c>
      <c r="C7" s="52">
        <f>SUM(C8:C15)</f>
        <v>5000</v>
      </c>
      <c r="D7" s="52">
        <f>SUM(D8:D15)</f>
        <v>1757</v>
      </c>
      <c r="E7" s="52">
        <f t="shared" ref="E7:H7" si="0">SUM(E8:E15)</f>
        <v>6162</v>
      </c>
      <c r="F7" s="52">
        <f t="shared" si="0"/>
        <v>1796</v>
      </c>
      <c r="G7" s="52">
        <f t="shared" si="0"/>
        <v>1341.2</v>
      </c>
      <c r="H7" s="52">
        <f t="shared" si="0"/>
        <v>234.10000000000002</v>
      </c>
      <c r="I7" s="51"/>
    </row>
    <row r="8" spans="1:9">
      <c r="A8" s="41"/>
      <c r="B8" s="40" t="s">
        <v>72</v>
      </c>
      <c r="C8" s="31">
        <v>100</v>
      </c>
      <c r="D8" s="31">
        <v>100</v>
      </c>
      <c r="E8" s="31">
        <f>VLOOKUP($B8,'thu phí,lệ phí, khac 2023'!$B$8:$H$28,6,0)</f>
        <v>11</v>
      </c>
      <c r="F8" s="31">
        <f>VLOOKUP($B8,'thu phí,lệ phí, khac 2023'!$B$8:$H$28,7,0)</f>
        <v>11</v>
      </c>
      <c r="G8" s="31"/>
      <c r="H8" s="31"/>
      <c r="I8" s="30"/>
    </row>
    <row r="9" spans="1:9">
      <c r="A9" s="41"/>
      <c r="B9" s="40" t="s">
        <v>71</v>
      </c>
      <c r="C9" s="31">
        <v>15</v>
      </c>
      <c r="D9" s="31">
        <v>15</v>
      </c>
      <c r="E9" s="31">
        <f>VLOOKUP($B9,'thu phí,lệ phí, khac 2023'!$B$8:$H$28,6,0)</f>
        <v>2</v>
      </c>
      <c r="F9" s="31">
        <f>VLOOKUP($B9,'thu phí,lệ phí, khac 2023'!$B$8:$H$28,7,0)</f>
        <v>2</v>
      </c>
      <c r="G9" s="31">
        <f t="shared" ref="G9:H27" si="1">IF(E9&gt;C9,E9*0.3,C9-E9)</f>
        <v>13</v>
      </c>
      <c r="H9" s="31">
        <f t="shared" si="1"/>
        <v>13</v>
      </c>
      <c r="I9" s="30"/>
    </row>
    <row r="10" spans="1:9">
      <c r="A10" s="41"/>
      <c r="B10" s="40" t="s">
        <v>69</v>
      </c>
      <c r="C10" s="31">
        <v>40</v>
      </c>
      <c r="D10" s="31">
        <v>40</v>
      </c>
      <c r="E10" s="31">
        <f>VLOOKUP($B10,'thu phí,lệ phí, khac 2023'!$B$8:$H$28,6,0)</f>
        <v>6</v>
      </c>
      <c r="F10" s="31">
        <f>VLOOKUP($B10,'thu phí,lệ phí, khac 2023'!$B$8:$H$28,7,0)</f>
        <v>6</v>
      </c>
      <c r="G10" s="31">
        <f t="shared" si="1"/>
        <v>34</v>
      </c>
      <c r="H10" s="31">
        <f t="shared" si="1"/>
        <v>34</v>
      </c>
      <c r="I10" s="30"/>
    </row>
    <row r="11" spans="1:9">
      <c r="A11" s="41">
        <v>2</v>
      </c>
      <c r="B11" s="40" t="s">
        <v>68</v>
      </c>
      <c r="C11" s="31">
        <v>450</v>
      </c>
      <c r="D11" s="31">
        <v>60</v>
      </c>
      <c r="E11" s="31">
        <f>VLOOKUP($B11,'thu phí,lệ phí, khac 2023'!$B$8:$H$28,6,0)</f>
        <v>133</v>
      </c>
      <c r="F11" s="31">
        <f>VLOOKUP($B11,'thu phí,lệ phí, khac 2023'!$B$8:$H$28,7,0)</f>
        <v>55</v>
      </c>
      <c r="G11" s="31">
        <f t="shared" si="1"/>
        <v>317</v>
      </c>
      <c r="H11" s="31">
        <f t="shared" si="1"/>
        <v>5</v>
      </c>
      <c r="I11" s="30"/>
    </row>
    <row r="12" spans="1:9">
      <c r="A12" s="41">
        <v>3</v>
      </c>
      <c r="B12" s="40" t="s">
        <v>67</v>
      </c>
      <c r="C12" s="31">
        <v>1172</v>
      </c>
      <c r="D12" s="31">
        <v>586</v>
      </c>
      <c r="E12" s="31">
        <f>VLOOKUP($B12,'thu phí,lệ phí, khac 2023'!$B$8:$H$28,6,0)</f>
        <v>3422</v>
      </c>
      <c r="F12" s="31">
        <f>VLOOKUP($B12,'thu phí,lệ phí, khac 2023'!$B$8:$H$28,7,0)</f>
        <v>1711</v>
      </c>
      <c r="G12" s="31">
        <f t="shared" ref="G12:H12" si="2">IF(E12&gt;C12,E12*0.1,C12-E12)</f>
        <v>342.20000000000005</v>
      </c>
      <c r="H12" s="31">
        <f t="shared" si="2"/>
        <v>171.10000000000002</v>
      </c>
      <c r="I12" s="30"/>
    </row>
    <row r="13" spans="1:9">
      <c r="A13" s="41">
        <v>4</v>
      </c>
      <c r="B13" s="40" t="s">
        <v>66</v>
      </c>
      <c r="C13" s="31">
        <v>576</v>
      </c>
      <c r="D13" s="31"/>
      <c r="E13" s="31">
        <f>VLOOKUP($B13,'thu phí,lệ phí, khac 2023'!$B$8:$H$28,6,0)</f>
        <v>529</v>
      </c>
      <c r="F13" s="31">
        <f>VLOOKUP($B13,'thu phí,lệ phí, khac 2023'!$B$8:$H$28,7,0)</f>
        <v>0</v>
      </c>
      <c r="G13" s="31">
        <f t="shared" ref="G13:G14" si="3">IF(E13&gt;C13,E13*0.4,C13-E13)</f>
        <v>47</v>
      </c>
      <c r="H13" s="31">
        <f t="shared" si="1"/>
        <v>0</v>
      </c>
      <c r="I13" s="30"/>
    </row>
    <row r="14" spans="1:9">
      <c r="A14" s="41">
        <v>5</v>
      </c>
      <c r="B14" s="40" t="s">
        <v>65</v>
      </c>
      <c r="C14" s="31">
        <v>272</v>
      </c>
      <c r="D14" s="31"/>
      <c r="E14" s="31">
        <f>VLOOKUP($B14,'thu phí,lệ phí, khac 2023'!$B$8:$H$28,6,0)</f>
        <v>204</v>
      </c>
      <c r="F14" s="31">
        <f>VLOOKUP($B14,'thu phí,lệ phí, khac 2023'!$B$8:$H$28,7,0)</f>
        <v>0</v>
      </c>
      <c r="G14" s="31">
        <f t="shared" si="3"/>
        <v>68</v>
      </c>
      <c r="H14" s="31">
        <f t="shared" si="1"/>
        <v>0</v>
      </c>
      <c r="I14" s="30"/>
    </row>
    <row r="15" spans="1:9">
      <c r="A15" s="41">
        <v>6</v>
      </c>
      <c r="B15" s="40" t="s">
        <v>64</v>
      </c>
      <c r="C15" s="31">
        <v>2375</v>
      </c>
      <c r="D15" s="31">
        <v>956</v>
      </c>
      <c r="E15" s="31">
        <f>VLOOKUP($B15,'thu phí,lệ phí, khac 2023'!$B$8:$H$28,6,0)</f>
        <v>1855</v>
      </c>
      <c r="F15" s="31">
        <f>VLOOKUP($B15,'thu phí,lệ phí, khac 2023'!$B$8:$H$28,7,0)</f>
        <v>11</v>
      </c>
      <c r="G15" s="31">
        <f t="shared" si="1"/>
        <v>520</v>
      </c>
      <c r="H15" s="31">
        <v>11</v>
      </c>
      <c r="I15" s="30"/>
    </row>
    <row r="16" spans="1:9" s="46" customFormat="1">
      <c r="A16" s="50" t="s">
        <v>5</v>
      </c>
      <c r="B16" s="49" t="s">
        <v>8</v>
      </c>
      <c r="C16" s="48">
        <f>SUMIF($A$17:$A$22,"&gt;0",C17:C22)</f>
        <v>17000</v>
      </c>
      <c r="D16" s="48">
        <f>SUMIF($A$17:$A$22,"&gt;0",D17:D22)</f>
        <v>11000</v>
      </c>
      <c r="E16" s="48">
        <f>VLOOKUP($B16,'thu phí,lệ phí, khac 2023'!$B$8:$H$28,6,0)</f>
        <v>9683</v>
      </c>
      <c r="F16" s="48">
        <f>VLOOKUP($B16,'thu phí,lệ phí, khac 2023'!$B$8:$H$28,7,0)</f>
        <v>5440</v>
      </c>
      <c r="G16" s="48">
        <f t="shared" si="1"/>
        <v>7317</v>
      </c>
      <c r="H16" s="48">
        <f t="shared" si="1"/>
        <v>5560</v>
      </c>
      <c r="I16" s="47"/>
    </row>
    <row r="17" spans="1:9" ht="31.5">
      <c r="A17" s="41">
        <v>1</v>
      </c>
      <c r="B17" s="40" t="s">
        <v>63</v>
      </c>
      <c r="C17" s="31">
        <v>800</v>
      </c>
      <c r="D17" s="31">
        <v>800</v>
      </c>
      <c r="E17" s="31">
        <f>VLOOKUP($B17,'thu phí,lệ phí, khac 2023'!$B$8:$H$28,6,0)</f>
        <v>805</v>
      </c>
      <c r="F17" s="31">
        <f>VLOOKUP($B17,'thu phí,lệ phí, khac 2023'!$B$8:$H$28,7,0)</f>
        <v>805</v>
      </c>
      <c r="G17" s="31">
        <f t="shared" si="1"/>
        <v>241.5</v>
      </c>
      <c r="H17" s="31">
        <f t="shared" si="1"/>
        <v>241.5</v>
      </c>
      <c r="I17" s="40"/>
    </row>
    <row r="18" spans="1:9">
      <c r="A18" s="41">
        <v>2</v>
      </c>
      <c r="B18" s="40" t="s">
        <v>62</v>
      </c>
      <c r="C18" s="31">
        <v>6000</v>
      </c>
      <c r="D18" s="31">
        <v>400</v>
      </c>
      <c r="E18" s="31">
        <f>VLOOKUP($B18,'thu phí,lệ phí, khac 2023'!$B$8:$H$28,6,0)</f>
        <v>3752</v>
      </c>
      <c r="F18" s="31">
        <f>VLOOKUP($B18,'thu phí,lệ phí, khac 2023'!$B$8:$H$28,7,0)</f>
        <v>231</v>
      </c>
      <c r="G18" s="31">
        <f t="shared" si="1"/>
        <v>2248</v>
      </c>
      <c r="H18" s="31">
        <f t="shared" si="1"/>
        <v>169</v>
      </c>
      <c r="I18" s="30"/>
    </row>
    <row r="19" spans="1:9" s="42" customFormat="1">
      <c r="A19" s="45"/>
      <c r="B19" s="44" t="s">
        <v>61</v>
      </c>
      <c r="C19" s="31">
        <v>6000</v>
      </c>
      <c r="D19" s="31"/>
      <c r="E19" s="31">
        <f>VLOOKUP($B19,'thu phí,lệ phí, khac 2023'!$B$8:$H$28,6,0)</f>
        <v>3584</v>
      </c>
      <c r="F19" s="31">
        <f>VLOOKUP($B19,'thu phí,lệ phí, khac 2023'!$B$8:$H$28,7,0)</f>
        <v>0</v>
      </c>
      <c r="G19" s="31">
        <f t="shared" si="1"/>
        <v>2416</v>
      </c>
      <c r="H19" s="31">
        <f t="shared" si="1"/>
        <v>0</v>
      </c>
      <c r="I19" s="43"/>
    </row>
    <row r="20" spans="1:9" ht="31.5">
      <c r="A20" s="41">
        <v>3</v>
      </c>
      <c r="B20" s="40" t="s">
        <v>60</v>
      </c>
      <c r="C20" s="31">
        <v>250</v>
      </c>
      <c r="D20" s="31">
        <v>250</v>
      </c>
      <c r="E20" s="31">
        <f>VLOOKUP($B20,'thu phí,lệ phí, khac 2023'!$B$8:$H$28,6,0)</f>
        <v>63</v>
      </c>
      <c r="F20" s="31">
        <f>VLOOKUP($B20,'thu phí,lệ phí, khac 2023'!$B$8:$H$28,7,0)</f>
        <v>63</v>
      </c>
      <c r="G20" s="31">
        <f t="shared" si="1"/>
        <v>187</v>
      </c>
      <c r="H20" s="31">
        <f t="shared" si="1"/>
        <v>187</v>
      </c>
      <c r="I20" s="40"/>
    </row>
    <row r="21" spans="1:9">
      <c r="A21" s="41">
        <v>4</v>
      </c>
      <c r="B21" s="40" t="s">
        <v>59</v>
      </c>
      <c r="C21" s="31">
        <v>345</v>
      </c>
      <c r="D21" s="31">
        <v>345</v>
      </c>
      <c r="E21" s="31">
        <f>VLOOKUP($B21,'thu phí,lệ phí, khac 2023'!$B$8:$H$28,6,0)</f>
        <v>118</v>
      </c>
      <c r="F21" s="31">
        <f>VLOOKUP($B21,'thu phí,lệ phí, khac 2023'!$B$8:$H$28,7,0)</f>
        <v>118</v>
      </c>
      <c r="G21" s="31">
        <f t="shared" si="1"/>
        <v>227</v>
      </c>
      <c r="H21" s="31">
        <f t="shared" si="1"/>
        <v>227</v>
      </c>
      <c r="I21" s="40"/>
    </row>
    <row r="22" spans="1:9" ht="31.5">
      <c r="A22" s="39">
        <v>5</v>
      </c>
      <c r="B22" s="38" t="s">
        <v>58</v>
      </c>
      <c r="C22" s="27">
        <f>9570+35</f>
        <v>9605</v>
      </c>
      <c r="D22" s="27">
        <f>9180+25</f>
        <v>9205</v>
      </c>
      <c r="E22" s="27">
        <f>VLOOKUP($B22,'thu phí,lệ phí, khac 2023'!$B$8:$H$28,6,0)</f>
        <v>4945</v>
      </c>
      <c r="F22" s="27">
        <f>VLOOKUP($B22,'thu phí,lệ phí, khac 2023'!$B$8:$H$28,7,0)</f>
        <v>4223</v>
      </c>
      <c r="G22" s="27">
        <f t="shared" si="1"/>
        <v>4660</v>
      </c>
      <c r="H22" s="27">
        <f t="shared" si="1"/>
        <v>4982</v>
      </c>
      <c r="I22" s="26"/>
    </row>
    <row r="23" spans="1:9">
      <c r="A23" s="37"/>
      <c r="B23" s="36" t="s">
        <v>57</v>
      </c>
      <c r="C23" s="35"/>
      <c r="D23" s="35"/>
      <c r="E23" s="35">
        <f>VLOOKUP($B23,'thu phí,lệ phí, khac 2023'!$B$8:$H$28,6,0)</f>
        <v>109</v>
      </c>
      <c r="F23" s="35">
        <f>VLOOKUP($B23,'thu phí,lệ phí, khac 2023'!$B$8:$H$28,7,0)</f>
        <v>97</v>
      </c>
      <c r="G23" s="35">
        <f t="shared" si="1"/>
        <v>32.699999999999996</v>
      </c>
      <c r="H23" s="35">
        <f t="shared" si="1"/>
        <v>29.099999999999998</v>
      </c>
      <c r="I23" s="34"/>
    </row>
    <row r="24" spans="1:9">
      <c r="A24" s="33"/>
      <c r="B24" s="32" t="s">
        <v>56</v>
      </c>
      <c r="C24" s="31"/>
      <c r="D24" s="31"/>
      <c r="E24" s="31">
        <f>VLOOKUP($B24,'thu phí,lệ phí, khac 2023'!$B$8:$H$28,6,0)</f>
        <v>0</v>
      </c>
      <c r="F24" s="31">
        <f>VLOOKUP($B24,'thu phí,lệ phí, khac 2023'!$B$8:$H$28,7,0)</f>
        <v>0</v>
      </c>
      <c r="G24" s="31">
        <f t="shared" si="1"/>
        <v>0</v>
      </c>
      <c r="H24" s="31">
        <f t="shared" si="1"/>
        <v>0</v>
      </c>
      <c r="I24" s="30"/>
    </row>
    <row r="25" spans="1:9">
      <c r="A25" s="33"/>
      <c r="B25" s="32" t="s">
        <v>141</v>
      </c>
      <c r="C25" s="31"/>
      <c r="D25" s="31"/>
      <c r="E25" s="31">
        <f>VLOOKUP($B25,'thu phí,lệ phí, khac 2023'!$B$8:$H$28,6,0)</f>
        <v>1942</v>
      </c>
      <c r="F25" s="31">
        <f>VLOOKUP($B25,'thu phí,lệ phí, khac 2023'!$B$8:$H$28,7,0)</f>
        <v>1232</v>
      </c>
      <c r="G25" s="31">
        <f t="shared" si="1"/>
        <v>582.6</v>
      </c>
      <c r="H25" s="31">
        <f t="shared" si="1"/>
        <v>369.59999999999997</v>
      </c>
      <c r="I25" s="30"/>
    </row>
    <row r="26" spans="1:9">
      <c r="A26" s="33"/>
      <c r="B26" s="32" t="s">
        <v>55</v>
      </c>
      <c r="C26" s="31"/>
      <c r="D26" s="31"/>
      <c r="E26" s="31">
        <f>VLOOKUP($B26,'thu phí,lệ phí, khac 2023'!$B$8:$H$28,6,0)</f>
        <v>2890</v>
      </c>
      <c r="F26" s="31">
        <f>VLOOKUP($B26,'thu phí,lệ phí, khac 2023'!$B$8:$H$28,7,0)</f>
        <v>2890</v>
      </c>
      <c r="G26" s="31">
        <f t="shared" si="1"/>
        <v>867</v>
      </c>
      <c r="H26" s="31">
        <f t="shared" si="1"/>
        <v>867</v>
      </c>
      <c r="I26" s="30"/>
    </row>
    <row r="27" spans="1:9">
      <c r="A27" s="29"/>
      <c r="B27" s="28" t="s">
        <v>54</v>
      </c>
      <c r="C27" s="27"/>
      <c r="D27" s="27"/>
      <c r="E27" s="27">
        <f>VLOOKUP($B27,'thu phí,lệ phí, khac 2023'!$B$8:$H$28,6,0)</f>
        <v>4</v>
      </c>
      <c r="F27" s="27">
        <f>VLOOKUP($B27,'thu phí,lệ phí, khac 2023'!$B$8:$H$28,7,0)</f>
        <v>4</v>
      </c>
      <c r="G27" s="27">
        <f t="shared" si="1"/>
        <v>1.2</v>
      </c>
      <c r="H27" s="27">
        <f t="shared" si="1"/>
        <v>1.2</v>
      </c>
      <c r="I27" s="26"/>
    </row>
  </sheetData>
  <mergeCells count="9">
    <mergeCell ref="D1:I1"/>
    <mergeCell ref="A2:I2"/>
    <mergeCell ref="A3:I3"/>
    <mergeCell ref="A5:A6"/>
    <mergeCell ref="B5:B6"/>
    <mergeCell ref="C5:D5"/>
    <mergeCell ref="E5:F5"/>
    <mergeCell ref="G5:H5"/>
    <mergeCell ref="I5:I6"/>
  </mergeCells>
  <pageMargins left="0.89" right="0.28999999999999998" top="0.64" bottom="0.2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DT THU 2023</vt:lpstr>
      <vt:lpstr>tien dat 2023</vt:lpstr>
      <vt:lpstr>thu phí,lệ phí, khac 2023</vt:lpstr>
      <vt:lpstr>DT CHI 2023</vt:lpstr>
      <vt:lpstr>Chi khac</vt:lpstr>
      <vt:lpstr>Chi DP</vt:lpstr>
      <vt:lpstr>Biểu 6 Nợ đọng XDCB-nợ thực</vt:lpstr>
      <vt:lpstr>NV 6 tháng cuối năm</vt:lpstr>
      <vt:lpstr>thu phí,lệ phí, khac 6 tháng CN</vt:lpstr>
      <vt:lpstr>DT CHI 2023 (6th CN)</vt:lpstr>
      <vt:lpstr>'Biểu 6 Nợ đọng XDCB-nợ thực'!Print_Titles</vt:lpstr>
      <vt:lpstr>'DT CHI 2023'!Print_Titles</vt:lpstr>
      <vt:lpstr>'DT CHI 2023 (6th CN)'!Print_Titles</vt:lpstr>
      <vt:lpstr>'thu phí,lệ phí, khac 2023'!Print_Titles</vt:lpstr>
      <vt:lpstr>'thu phí,lệ phí, khac 6 tháng CN'!Print_Titles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hoatcty@outlook.com</dc:creator>
  <cp:lastModifiedBy>VANTHU</cp:lastModifiedBy>
  <cp:lastPrinted>2023-06-10T03:25:00Z</cp:lastPrinted>
  <dcterms:created xsi:type="dcterms:W3CDTF">2023-06-04T01:10:17Z</dcterms:created>
  <dcterms:modified xsi:type="dcterms:W3CDTF">2023-07-10T06:53:23Z</dcterms:modified>
</cp:coreProperties>
</file>