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THAO\AppData\Local\Temp\Tandan JSC\files\"/>
    </mc:Choice>
  </mc:AlternateContent>
  <bookViews>
    <workbookView xWindow="0" yWindow="0" windowWidth="20490" windowHeight="7320" firstSheet="3" activeTab="3"/>
  </bookViews>
  <sheets>
    <sheet name="DK VỐN" sheetId="27" r:id="rId1"/>
    <sheet name="Tổng hợp KHV 2024" sheetId="20" r:id="rId2"/>
    <sheet name="CT huyện -2024" sheetId="17" r:id="rId3"/>
    <sheet name="KHV hạ tầng dân cư xây mới" sheetId="23" r:id="rId4"/>
    <sheet name="KHV hạ tầng dân cư CBĐT" sheetId="26" r:id="rId5"/>
    <sheet name="Hạ tầng dân cư - vốn vay" sheetId="22" r:id="rId6"/>
    <sheet name="CT xa-TT-2024" sheetId="1" r:id="rId7"/>
    <sheet name="CT-NTM 2024" sheetId="2" r:id="rId8"/>
    <sheet name="hạ tầng NNNT" sheetId="32" r:id="rId9"/>
    <sheet name="KHV QHXD" sheetId="24" r:id="rId10"/>
    <sheet name="KHV đo đạc cấp GCN" sheetId="25" r:id="rId11"/>
    <sheet name="Dự kiến thu tiền đất 2024 " sheetId="33" r:id="rId12"/>
  </sheets>
  <definedNames>
    <definedName name="_xlnm._FilterDatabase" localSheetId="6" hidden="1">'CT xa-TT-2024'!$A$10:$Z$133</definedName>
    <definedName name="_xlnm._FilterDatabase" localSheetId="7" hidden="1">'CT-NTM 2024'!$A$10:$Z$59</definedName>
    <definedName name="_xlnm._FilterDatabase" localSheetId="8" hidden="1">'hạ tầng NNNT'!$A$10:$Z$25</definedName>
    <definedName name="_xlnm.Print_Titles" localSheetId="2">'CT huyện -2024'!$5:$9</definedName>
    <definedName name="_xlnm.Print_Titles" localSheetId="6">'CT xa-TT-2024'!$5:$10</definedName>
    <definedName name="_xlnm.Print_Titles" localSheetId="7">'CT-NTM 2024'!$5:$10</definedName>
    <definedName name="_xlnm.Print_Titles" localSheetId="0">'DK VỐN'!$6:$14</definedName>
    <definedName name="_xlnm.Print_Titles" localSheetId="11">'Dự kiến thu tiền đất 2024 '!$4:$6</definedName>
    <definedName name="_xlnm.Print_Titles" localSheetId="5">'Hạ tầng dân cư - vốn vay'!$6:$9</definedName>
    <definedName name="_xlnm.Print_Titles" localSheetId="8">'hạ tầng NNNT'!$5:$10</definedName>
    <definedName name="_xlnm.Print_Titles" localSheetId="10">'KHV đo đạc cấp GCN'!$5:$5</definedName>
    <definedName name="_xlnm.Print_Titles" localSheetId="4">'KHV hạ tầng dân cư CBĐT'!$5:$9</definedName>
    <definedName name="_xlnm.Print_Titles" localSheetId="3">'KHV hạ tầng dân cư xây mới'!$5:$9</definedName>
    <definedName name="_xlnm.Print_Titles" localSheetId="9">'KHV QHXD'!$5:$5</definedName>
    <definedName name="_xlnm.Print_Titles" localSheetId="1">'Tổng hợp KHV 2024'!$5:$9</definedName>
  </definedNames>
  <calcPr calcId="152511"/>
</workbook>
</file>

<file path=xl/calcChain.xml><?xml version="1.0" encoding="utf-8"?>
<calcChain xmlns="http://schemas.openxmlformats.org/spreadsheetml/2006/main">
  <c r="E6" i="25" l="1"/>
  <c r="O32" i="2" l="1"/>
  <c r="O24" i="2"/>
  <c r="O25" i="2"/>
  <c r="O26" i="2"/>
  <c r="O118" i="1"/>
  <c r="O82" i="1"/>
  <c r="O31" i="2" l="1"/>
  <c r="V31" i="2" s="1"/>
  <c r="AB11" i="20" l="1"/>
  <c r="F26" i="32"/>
  <c r="G26" i="32"/>
  <c r="H26" i="32"/>
  <c r="I26" i="32"/>
  <c r="J26" i="32"/>
  <c r="K26" i="32"/>
  <c r="L26" i="32"/>
  <c r="M26" i="32"/>
  <c r="N26" i="32"/>
  <c r="P26" i="32"/>
  <c r="Q26" i="32"/>
  <c r="R26" i="32"/>
  <c r="S26" i="32"/>
  <c r="T26" i="32"/>
  <c r="U26" i="32"/>
  <c r="E26" i="32"/>
  <c r="O28" i="32"/>
  <c r="O26" i="32" s="1"/>
  <c r="R14" i="32"/>
  <c r="Y18" i="32"/>
  <c r="Y14" i="32"/>
  <c r="V28" i="32" l="1"/>
  <c r="V26" i="32" s="1"/>
  <c r="T23" i="2"/>
  <c r="S116" i="1" l="1"/>
  <c r="E117" i="1"/>
  <c r="F100" i="1"/>
  <c r="G100" i="1"/>
  <c r="I100" i="1"/>
  <c r="J100" i="1"/>
  <c r="K100" i="1"/>
  <c r="L100" i="1"/>
  <c r="M100" i="1"/>
  <c r="P100" i="1"/>
  <c r="Q100" i="1"/>
  <c r="R100" i="1"/>
  <c r="S100" i="1"/>
  <c r="T100" i="1"/>
  <c r="U100" i="1"/>
  <c r="E100" i="1"/>
  <c r="F97" i="1"/>
  <c r="F96" i="1" s="1"/>
  <c r="G97" i="1"/>
  <c r="G96" i="1" s="1"/>
  <c r="I97" i="1"/>
  <c r="I96" i="1" s="1"/>
  <c r="J97" i="1"/>
  <c r="J96" i="1" s="1"/>
  <c r="K97" i="1"/>
  <c r="K96" i="1" s="1"/>
  <c r="L97" i="1"/>
  <c r="L96" i="1" s="1"/>
  <c r="M97" i="1"/>
  <c r="M96" i="1" s="1"/>
  <c r="P97" i="1"/>
  <c r="P96" i="1" s="1"/>
  <c r="Q97" i="1"/>
  <c r="Q96" i="1" s="1"/>
  <c r="R97" i="1"/>
  <c r="R96" i="1" s="1"/>
  <c r="S97" i="1"/>
  <c r="S96" i="1" s="1"/>
  <c r="T97" i="1"/>
  <c r="T96" i="1" s="1"/>
  <c r="U97" i="1"/>
  <c r="U96" i="1" s="1"/>
  <c r="E97" i="1"/>
  <c r="E96" i="1" s="1"/>
  <c r="F81" i="1"/>
  <c r="G81" i="1"/>
  <c r="H81" i="1"/>
  <c r="I81" i="1"/>
  <c r="J81" i="1"/>
  <c r="K81" i="1"/>
  <c r="L81" i="1"/>
  <c r="M81" i="1"/>
  <c r="N81" i="1"/>
  <c r="O81" i="1"/>
  <c r="P81" i="1"/>
  <c r="Q81" i="1"/>
  <c r="R81" i="1"/>
  <c r="S81" i="1"/>
  <c r="T81" i="1"/>
  <c r="U81" i="1"/>
  <c r="V81" i="1"/>
  <c r="E81" i="1"/>
  <c r="O108" i="1"/>
  <c r="V108" i="1" s="1"/>
  <c r="V107" i="1" s="1"/>
  <c r="U107" i="1"/>
  <c r="T107" i="1"/>
  <c r="S107" i="1"/>
  <c r="R107" i="1"/>
  <c r="Q107" i="1"/>
  <c r="P107" i="1"/>
  <c r="N107" i="1"/>
  <c r="M107" i="1"/>
  <c r="L107" i="1"/>
  <c r="K107" i="1"/>
  <c r="J107" i="1"/>
  <c r="I107" i="1"/>
  <c r="H107" i="1"/>
  <c r="G107" i="1"/>
  <c r="F107" i="1"/>
  <c r="X107" i="1" s="1"/>
  <c r="E107" i="1"/>
  <c r="H102" i="1"/>
  <c r="N102" i="1"/>
  <c r="O102" i="1"/>
  <c r="R14" i="1"/>
  <c r="O107" i="1" l="1"/>
  <c r="V102" i="1"/>
  <c r="N93" i="1"/>
  <c r="Y14" i="1"/>
  <c r="X14" i="1"/>
  <c r="I6" i="24" l="1"/>
  <c r="C6" i="24"/>
  <c r="D15" i="24"/>
  <c r="E15" i="24"/>
  <c r="F15" i="24"/>
  <c r="C15" i="24"/>
  <c r="F18" i="24"/>
  <c r="Y3" i="20"/>
  <c r="G8" i="27" l="1"/>
  <c r="Y21" i="17" l="1"/>
  <c r="X21" i="17"/>
  <c r="W21" i="17"/>
  <c r="S21" i="17"/>
  <c r="L21" i="17"/>
  <c r="N14" i="32"/>
  <c r="N14" i="1"/>
  <c r="H26" i="22"/>
  <c r="H25" i="22"/>
  <c r="H24" i="22"/>
  <c r="I23" i="22"/>
  <c r="H23" i="22"/>
  <c r="H22" i="22"/>
  <c r="H14" i="22"/>
  <c r="J14" i="22"/>
  <c r="J34" i="23"/>
  <c r="K33" i="23"/>
  <c r="K31" i="23"/>
  <c r="K28" i="23"/>
  <c r="K27" i="23"/>
  <c r="K26" i="23"/>
  <c r="J26" i="23"/>
  <c r="K24" i="23"/>
  <c r="H32" i="17"/>
  <c r="J13" i="22"/>
  <c r="K19" i="23" l="1"/>
  <c r="K18" i="23"/>
  <c r="K17" i="23"/>
  <c r="H16" i="23"/>
  <c r="K14" i="23"/>
  <c r="K13" i="23"/>
  <c r="X12" i="2" l="1"/>
  <c r="W31" i="17"/>
  <c r="S31" i="17"/>
  <c r="L31" i="17"/>
  <c r="Q60" i="20" l="1"/>
  <c r="U60" i="20"/>
  <c r="I56" i="20"/>
  <c r="M56" i="20"/>
  <c r="R56" i="20"/>
  <c r="G54" i="20"/>
  <c r="K54" i="20"/>
  <c r="S54" i="20"/>
  <c r="F53" i="20"/>
  <c r="J53" i="20"/>
  <c r="N53" i="20"/>
  <c r="R53" i="20"/>
  <c r="E53" i="20"/>
  <c r="P49" i="20"/>
  <c r="R49" i="20"/>
  <c r="F48" i="20"/>
  <c r="H48" i="20"/>
  <c r="J48" i="20"/>
  <c r="L48" i="20"/>
  <c r="N48" i="20"/>
  <c r="Q48" i="20"/>
  <c r="S48" i="20"/>
  <c r="U47" i="20"/>
  <c r="F13" i="2"/>
  <c r="F46" i="20" s="1"/>
  <c r="G13" i="2"/>
  <c r="G46" i="20" s="1"/>
  <c r="H13" i="2"/>
  <c r="H46" i="20" s="1"/>
  <c r="I13" i="2"/>
  <c r="I46" i="20" s="1"/>
  <c r="J13" i="2"/>
  <c r="J46" i="20" s="1"/>
  <c r="K13" i="2"/>
  <c r="K46" i="20" s="1"/>
  <c r="L13" i="2"/>
  <c r="L46" i="20" s="1"/>
  <c r="M13" i="2"/>
  <c r="M46" i="20" s="1"/>
  <c r="N13" i="2"/>
  <c r="N46" i="20" s="1"/>
  <c r="P13" i="2"/>
  <c r="P46" i="20" s="1"/>
  <c r="Q13" i="2"/>
  <c r="Q46" i="20" s="1"/>
  <c r="R13" i="2"/>
  <c r="R46" i="20" s="1"/>
  <c r="S13" i="2"/>
  <c r="S46" i="20" s="1"/>
  <c r="T13" i="2"/>
  <c r="T46" i="20" s="1"/>
  <c r="U13" i="2"/>
  <c r="U46" i="20" s="1"/>
  <c r="E13" i="2"/>
  <c r="E46" i="20" s="1"/>
  <c r="F19" i="2"/>
  <c r="F47" i="20" s="1"/>
  <c r="G19" i="2"/>
  <c r="G47" i="20" s="1"/>
  <c r="H19" i="2"/>
  <c r="H47" i="20" s="1"/>
  <c r="I19" i="2"/>
  <c r="I47" i="20" s="1"/>
  <c r="J19" i="2"/>
  <c r="J47" i="20" s="1"/>
  <c r="K19" i="2"/>
  <c r="K47" i="20" s="1"/>
  <c r="L19" i="2"/>
  <c r="L47" i="20" s="1"/>
  <c r="M19" i="2"/>
  <c r="M47" i="20" s="1"/>
  <c r="N19" i="2"/>
  <c r="N47" i="20" s="1"/>
  <c r="P19" i="2"/>
  <c r="P47" i="20" s="1"/>
  <c r="Q19" i="2"/>
  <c r="Q47" i="20" s="1"/>
  <c r="R19" i="2"/>
  <c r="R47" i="20" s="1"/>
  <c r="S19" i="2"/>
  <c r="S47" i="20" s="1"/>
  <c r="T19" i="2"/>
  <c r="T47" i="20" s="1"/>
  <c r="U19" i="2"/>
  <c r="E19" i="2"/>
  <c r="E47" i="20" s="1"/>
  <c r="F21" i="2"/>
  <c r="G21" i="2"/>
  <c r="G48" i="20" s="1"/>
  <c r="H21" i="2"/>
  <c r="I21" i="2"/>
  <c r="I48" i="20" s="1"/>
  <c r="J21" i="2"/>
  <c r="K21" i="2"/>
  <c r="K48" i="20" s="1"/>
  <c r="L21" i="2"/>
  <c r="M21" i="2"/>
  <c r="M48" i="20" s="1"/>
  <c r="N21" i="2"/>
  <c r="P21" i="2"/>
  <c r="P48" i="20" s="1"/>
  <c r="Q21" i="2"/>
  <c r="R21" i="2"/>
  <c r="R48" i="20" s="1"/>
  <c r="S21" i="2"/>
  <c r="T21" i="2"/>
  <c r="T48" i="20" s="1"/>
  <c r="U21" i="2"/>
  <c r="U48" i="20" s="1"/>
  <c r="E21" i="2"/>
  <c r="E48" i="20" s="1"/>
  <c r="F24" i="2"/>
  <c r="F49" i="20" s="1"/>
  <c r="G24" i="2"/>
  <c r="G49" i="20" s="1"/>
  <c r="H24" i="2"/>
  <c r="H49" i="20" s="1"/>
  <c r="I24" i="2"/>
  <c r="I49" i="20" s="1"/>
  <c r="J24" i="2"/>
  <c r="J49" i="20" s="1"/>
  <c r="K24" i="2"/>
  <c r="K49" i="20" s="1"/>
  <c r="L24" i="2"/>
  <c r="L49" i="20" s="1"/>
  <c r="M24" i="2"/>
  <c r="M49" i="20" s="1"/>
  <c r="N24" i="2"/>
  <c r="N49" i="20" s="1"/>
  <c r="O49" i="20"/>
  <c r="P24" i="2"/>
  <c r="Q24" i="2"/>
  <c r="Q49" i="20" s="1"/>
  <c r="R24" i="2"/>
  <c r="S24" i="2"/>
  <c r="S49" i="20" s="1"/>
  <c r="T24" i="2"/>
  <c r="T49" i="20" s="1"/>
  <c r="U24" i="2"/>
  <c r="U49" i="20" s="1"/>
  <c r="E24" i="2"/>
  <c r="E49" i="20" s="1"/>
  <c r="F27" i="2"/>
  <c r="F50" i="20" s="1"/>
  <c r="G27" i="2"/>
  <c r="G50" i="20" s="1"/>
  <c r="H27" i="2"/>
  <c r="H50" i="20" s="1"/>
  <c r="I27" i="2"/>
  <c r="I50" i="20" s="1"/>
  <c r="J27" i="2"/>
  <c r="J50" i="20" s="1"/>
  <c r="K27" i="2"/>
  <c r="K50" i="20" s="1"/>
  <c r="L27" i="2"/>
  <c r="L50" i="20" s="1"/>
  <c r="M27" i="2"/>
  <c r="M50" i="20" s="1"/>
  <c r="N27" i="2"/>
  <c r="N50" i="20" s="1"/>
  <c r="P27" i="2"/>
  <c r="P50" i="20" s="1"/>
  <c r="Q27" i="2"/>
  <c r="Q50" i="20" s="1"/>
  <c r="R27" i="2"/>
  <c r="R50" i="20" s="1"/>
  <c r="S27" i="2"/>
  <c r="S50" i="20" s="1"/>
  <c r="T27" i="2"/>
  <c r="T50" i="20" s="1"/>
  <c r="U27" i="2"/>
  <c r="U50" i="20" s="1"/>
  <c r="E27" i="2"/>
  <c r="E50" i="20" s="1"/>
  <c r="F33" i="2"/>
  <c r="F52" i="20" s="1"/>
  <c r="G33" i="2"/>
  <c r="G52" i="20" s="1"/>
  <c r="H33" i="2"/>
  <c r="H52" i="20" s="1"/>
  <c r="I33" i="2"/>
  <c r="I52" i="20" s="1"/>
  <c r="J33" i="2"/>
  <c r="J52" i="20" s="1"/>
  <c r="K33" i="2"/>
  <c r="K52" i="20" s="1"/>
  <c r="L33" i="2"/>
  <c r="L52" i="20" s="1"/>
  <c r="M33" i="2"/>
  <c r="M52" i="20" s="1"/>
  <c r="N33" i="2"/>
  <c r="N52" i="20" s="1"/>
  <c r="P33" i="2"/>
  <c r="P52" i="20" s="1"/>
  <c r="Q33" i="2"/>
  <c r="Q52" i="20" s="1"/>
  <c r="R33" i="2"/>
  <c r="R52" i="20" s="1"/>
  <c r="S33" i="2"/>
  <c r="S52" i="20" s="1"/>
  <c r="T33" i="2"/>
  <c r="T52" i="20" s="1"/>
  <c r="U33" i="2"/>
  <c r="U52" i="20" s="1"/>
  <c r="E33" i="2"/>
  <c r="E52" i="20" s="1"/>
  <c r="F35" i="2"/>
  <c r="G35" i="2"/>
  <c r="G53" i="20" s="1"/>
  <c r="H35" i="2"/>
  <c r="H53" i="20" s="1"/>
  <c r="I35" i="2"/>
  <c r="I53" i="20" s="1"/>
  <c r="J35" i="2"/>
  <c r="K35" i="2"/>
  <c r="K53" i="20" s="1"/>
  <c r="L35" i="2"/>
  <c r="L53" i="20" s="1"/>
  <c r="M35" i="2"/>
  <c r="M53" i="20" s="1"/>
  <c r="N35" i="2"/>
  <c r="P35" i="2"/>
  <c r="P53" i="20" s="1"/>
  <c r="Q35" i="2"/>
  <c r="Q53" i="20" s="1"/>
  <c r="R35" i="2"/>
  <c r="S35" i="2"/>
  <c r="S53" i="20" s="1"/>
  <c r="T35" i="2"/>
  <c r="T53" i="20" s="1"/>
  <c r="U35" i="2"/>
  <c r="U53" i="20" s="1"/>
  <c r="E35" i="2"/>
  <c r="F37" i="2"/>
  <c r="F54" i="20" s="1"/>
  <c r="G37" i="2"/>
  <c r="H37" i="2"/>
  <c r="H54" i="20" s="1"/>
  <c r="I37" i="2"/>
  <c r="I54" i="20" s="1"/>
  <c r="J37" i="2"/>
  <c r="J54" i="20" s="1"/>
  <c r="K37" i="2"/>
  <c r="L37" i="2"/>
  <c r="L54" i="20" s="1"/>
  <c r="M37" i="2"/>
  <c r="M54" i="20" s="1"/>
  <c r="P37" i="2"/>
  <c r="P54" i="20" s="1"/>
  <c r="Q37" i="2"/>
  <c r="Q54" i="20" s="1"/>
  <c r="R37" i="2"/>
  <c r="R54" i="20" s="1"/>
  <c r="S37" i="2"/>
  <c r="T37" i="2"/>
  <c r="T54" i="20" s="1"/>
  <c r="U37" i="2"/>
  <c r="U54" i="20" s="1"/>
  <c r="E37" i="2"/>
  <c r="E54" i="20" s="1"/>
  <c r="F40" i="2"/>
  <c r="F55" i="20" s="1"/>
  <c r="G40" i="2"/>
  <c r="G55" i="20" s="1"/>
  <c r="H40" i="2"/>
  <c r="H55" i="20" s="1"/>
  <c r="I40" i="2"/>
  <c r="I55" i="20" s="1"/>
  <c r="J40" i="2"/>
  <c r="J55" i="20" s="1"/>
  <c r="K40" i="2"/>
  <c r="K55" i="20" s="1"/>
  <c r="L40" i="2"/>
  <c r="L55" i="20" s="1"/>
  <c r="M40" i="2"/>
  <c r="M55" i="20" s="1"/>
  <c r="N40" i="2"/>
  <c r="N55" i="20" s="1"/>
  <c r="P40" i="2"/>
  <c r="P55" i="20" s="1"/>
  <c r="Q40" i="2"/>
  <c r="Q55" i="20" s="1"/>
  <c r="R40" i="2"/>
  <c r="R55" i="20" s="1"/>
  <c r="S40" i="2"/>
  <c r="S55" i="20" s="1"/>
  <c r="T40" i="2"/>
  <c r="T55" i="20" s="1"/>
  <c r="U40" i="2"/>
  <c r="U55" i="20" s="1"/>
  <c r="E40" i="2"/>
  <c r="E55" i="20" s="1"/>
  <c r="F42" i="2"/>
  <c r="F56" i="20" s="1"/>
  <c r="G42" i="2"/>
  <c r="G56" i="20" s="1"/>
  <c r="H42" i="2"/>
  <c r="H56" i="20" s="1"/>
  <c r="I42" i="2"/>
  <c r="J42" i="2"/>
  <c r="J56" i="20" s="1"/>
  <c r="K42" i="2"/>
  <c r="K56" i="20" s="1"/>
  <c r="L42" i="2"/>
  <c r="L56" i="20" s="1"/>
  <c r="M42" i="2"/>
  <c r="N42" i="2"/>
  <c r="N56" i="20" s="1"/>
  <c r="P42" i="2"/>
  <c r="P56" i="20" s="1"/>
  <c r="Q42" i="2"/>
  <c r="Q56" i="20" s="1"/>
  <c r="R42" i="2"/>
  <c r="S42" i="2"/>
  <c r="S56" i="20" s="1"/>
  <c r="T42" i="2"/>
  <c r="T56" i="20" s="1"/>
  <c r="U42" i="2"/>
  <c r="U56" i="20" s="1"/>
  <c r="F45" i="2"/>
  <c r="F57" i="20" s="1"/>
  <c r="G45" i="2"/>
  <c r="G57" i="20" s="1"/>
  <c r="H45" i="2"/>
  <c r="H57" i="20" s="1"/>
  <c r="I45" i="2"/>
  <c r="I57" i="20" s="1"/>
  <c r="J45" i="2"/>
  <c r="J57" i="20" s="1"/>
  <c r="K45" i="2"/>
  <c r="K57" i="20" s="1"/>
  <c r="L45" i="2"/>
  <c r="L57" i="20" s="1"/>
  <c r="M45" i="2"/>
  <c r="M57" i="20" s="1"/>
  <c r="N45" i="2"/>
  <c r="N57" i="20" s="1"/>
  <c r="P45" i="2"/>
  <c r="P57" i="20" s="1"/>
  <c r="Q45" i="2"/>
  <c r="Q57" i="20" s="1"/>
  <c r="R45" i="2"/>
  <c r="R57" i="20" s="1"/>
  <c r="S45" i="2"/>
  <c r="S57" i="20" s="1"/>
  <c r="T45" i="2"/>
  <c r="T57" i="20" s="1"/>
  <c r="U45" i="2"/>
  <c r="U57" i="20" s="1"/>
  <c r="F47" i="2"/>
  <c r="F58" i="20" s="1"/>
  <c r="G47" i="2"/>
  <c r="G58" i="20" s="1"/>
  <c r="H47" i="2"/>
  <c r="H58" i="20" s="1"/>
  <c r="I47" i="2"/>
  <c r="I58" i="20" s="1"/>
  <c r="J47" i="2"/>
  <c r="J58" i="20" s="1"/>
  <c r="K47" i="2"/>
  <c r="K58" i="20" s="1"/>
  <c r="L47" i="2"/>
  <c r="L58" i="20" s="1"/>
  <c r="M47" i="2"/>
  <c r="M58" i="20" s="1"/>
  <c r="N47" i="2"/>
  <c r="N58" i="20" s="1"/>
  <c r="P47" i="2"/>
  <c r="P58" i="20" s="1"/>
  <c r="Q47" i="2"/>
  <c r="Q58" i="20" s="1"/>
  <c r="R47" i="2"/>
  <c r="R58" i="20" s="1"/>
  <c r="S47" i="2"/>
  <c r="S58" i="20" s="1"/>
  <c r="T47" i="2"/>
  <c r="T58" i="20" s="1"/>
  <c r="U47" i="2"/>
  <c r="U58" i="20" s="1"/>
  <c r="F58" i="2"/>
  <c r="F60" i="20" s="1"/>
  <c r="G58" i="2"/>
  <c r="G60" i="20" s="1"/>
  <c r="H58" i="2"/>
  <c r="H60" i="20" s="1"/>
  <c r="I58" i="2"/>
  <c r="I60" i="20" s="1"/>
  <c r="J58" i="2"/>
  <c r="J60" i="20" s="1"/>
  <c r="K58" i="2"/>
  <c r="K60" i="20" s="1"/>
  <c r="L58" i="2"/>
  <c r="L60" i="20" s="1"/>
  <c r="M58" i="2"/>
  <c r="M60" i="20" s="1"/>
  <c r="N58" i="2"/>
  <c r="N60" i="20" s="1"/>
  <c r="P58" i="2"/>
  <c r="P60" i="20" s="1"/>
  <c r="Q58" i="2"/>
  <c r="R58" i="2"/>
  <c r="R60" i="20" s="1"/>
  <c r="S58" i="2"/>
  <c r="S60" i="20" s="1"/>
  <c r="T58" i="2"/>
  <c r="T60" i="20" s="1"/>
  <c r="U58" i="2"/>
  <c r="F55" i="2"/>
  <c r="F59" i="20" s="1"/>
  <c r="G55" i="2"/>
  <c r="G59" i="20" s="1"/>
  <c r="H55" i="2"/>
  <c r="H59" i="20" s="1"/>
  <c r="I55" i="2"/>
  <c r="I59" i="20" s="1"/>
  <c r="J55" i="2"/>
  <c r="J59" i="20" s="1"/>
  <c r="K55" i="2"/>
  <c r="K59" i="20" s="1"/>
  <c r="L55" i="2"/>
  <c r="L59" i="20" s="1"/>
  <c r="M55" i="2"/>
  <c r="M59" i="20" s="1"/>
  <c r="N55" i="2"/>
  <c r="N59" i="20" s="1"/>
  <c r="P55" i="2"/>
  <c r="P59" i="20" s="1"/>
  <c r="Q55" i="2"/>
  <c r="Q59" i="20" s="1"/>
  <c r="R55" i="2"/>
  <c r="R59" i="20" s="1"/>
  <c r="S55" i="2"/>
  <c r="S59" i="20" s="1"/>
  <c r="T55" i="2"/>
  <c r="T59" i="20" s="1"/>
  <c r="U55" i="2"/>
  <c r="U59" i="20" s="1"/>
  <c r="O56" i="2"/>
  <c r="O55" i="2" s="1"/>
  <c r="O59" i="20" s="1"/>
  <c r="O57" i="2"/>
  <c r="V57" i="2" s="1"/>
  <c r="E55" i="2"/>
  <c r="E59" i="20" s="1"/>
  <c r="O39" i="2"/>
  <c r="V39" i="2" s="1"/>
  <c r="E42" i="2"/>
  <c r="E56" i="20" s="1"/>
  <c r="O22" i="2"/>
  <c r="V22" i="2" s="1"/>
  <c r="O23" i="2"/>
  <c r="V23" i="2" s="1"/>
  <c r="V21" i="2" s="1"/>
  <c r="V48" i="20" s="1"/>
  <c r="O20" i="2"/>
  <c r="O19" i="2" s="1"/>
  <c r="O47" i="20" s="1"/>
  <c r="N38" i="2"/>
  <c r="N37" i="2" s="1"/>
  <c r="N54" i="20" s="1"/>
  <c r="O38" i="2"/>
  <c r="O15" i="2"/>
  <c r="V15" i="2" s="1"/>
  <c r="O16" i="2"/>
  <c r="O17" i="2"/>
  <c r="V17" i="2" s="1"/>
  <c r="O18" i="2"/>
  <c r="V18" i="2" s="1"/>
  <c r="O14" i="2"/>
  <c r="V14" i="2" s="1"/>
  <c r="V25" i="2"/>
  <c r="V26" i="2"/>
  <c r="O28" i="2"/>
  <c r="V28" i="2" s="1"/>
  <c r="V27" i="2" s="1"/>
  <c r="V50" i="20" s="1"/>
  <c r="O36" i="2"/>
  <c r="V36" i="2" s="1"/>
  <c r="V35" i="2" s="1"/>
  <c r="O41" i="2"/>
  <c r="V41" i="2" s="1"/>
  <c r="V40" i="2" s="1"/>
  <c r="O43" i="2"/>
  <c r="V43" i="2" s="1"/>
  <c r="O35" i="2" l="1"/>
  <c r="O53" i="20" s="1"/>
  <c r="V38" i="2"/>
  <c r="V37" i="2" s="1"/>
  <c r="O37" i="2"/>
  <c r="O54" i="20" s="1"/>
  <c r="O27" i="2"/>
  <c r="O50" i="20" s="1"/>
  <c r="V24" i="2"/>
  <c r="O21" i="2"/>
  <c r="O48" i="20" s="1"/>
  <c r="V56" i="2"/>
  <c r="V55" i="2" s="1"/>
  <c r="V59" i="20" s="1"/>
  <c r="O13" i="2"/>
  <c r="O46" i="20" s="1"/>
  <c r="O40" i="2"/>
  <c r="O55" i="20" s="1"/>
  <c r="V16" i="2"/>
  <c r="V13" i="2" s="1"/>
  <c r="O34" i="2" l="1"/>
  <c r="O44" i="2"/>
  <c r="O42" i="2" s="1"/>
  <c r="O56" i="20" s="1"/>
  <c r="N80" i="33"/>
  <c r="N81" i="33"/>
  <c r="N78" i="33" s="1"/>
  <c r="N79" i="33"/>
  <c r="J7" i="33"/>
  <c r="I7" i="33"/>
  <c r="J8" i="33"/>
  <c r="M8" i="33"/>
  <c r="I8" i="33"/>
  <c r="J78" i="33"/>
  <c r="K78" i="33"/>
  <c r="L78" i="33"/>
  <c r="M78" i="33"/>
  <c r="O78" i="33"/>
  <c r="I78" i="33"/>
  <c r="M80" i="33"/>
  <c r="M81" i="33"/>
  <c r="O10" i="33"/>
  <c r="O11" i="33"/>
  <c r="O12" i="33"/>
  <c r="O13" i="33"/>
  <c r="O14" i="33"/>
  <c r="O15" i="33"/>
  <c r="O16" i="33"/>
  <c r="O17" i="33"/>
  <c r="O18" i="33"/>
  <c r="O19" i="33"/>
  <c r="O20" i="33"/>
  <c r="O21" i="33"/>
  <c r="O22" i="33"/>
  <c r="O23" i="33"/>
  <c r="O24" i="33"/>
  <c r="O25" i="33"/>
  <c r="O26" i="33"/>
  <c r="O27" i="33"/>
  <c r="O28" i="33"/>
  <c r="O29" i="33"/>
  <c r="O30" i="33"/>
  <c r="O31" i="33"/>
  <c r="O32" i="33"/>
  <c r="O33" i="33"/>
  <c r="O34" i="33"/>
  <c r="O35" i="33"/>
  <c r="O36" i="33"/>
  <c r="O37" i="33"/>
  <c r="O38" i="33"/>
  <c r="O39" i="33"/>
  <c r="O40" i="33"/>
  <c r="O41" i="33"/>
  <c r="O42" i="33"/>
  <c r="O43" i="33"/>
  <c r="O44" i="33"/>
  <c r="O45" i="33"/>
  <c r="O46" i="33"/>
  <c r="O47" i="33"/>
  <c r="O48" i="33"/>
  <c r="O49" i="33"/>
  <c r="O50" i="33"/>
  <c r="O51" i="33"/>
  <c r="O52" i="33"/>
  <c r="O53" i="33"/>
  <c r="O54" i="33"/>
  <c r="O55" i="33"/>
  <c r="O56" i="33"/>
  <c r="O57" i="33"/>
  <c r="O58" i="33"/>
  <c r="O59" i="33"/>
  <c r="O60" i="33"/>
  <c r="O61" i="33"/>
  <c r="O62" i="33"/>
  <c r="O63" i="33"/>
  <c r="O64" i="33"/>
  <c r="O65" i="33"/>
  <c r="O66" i="33"/>
  <c r="O67" i="33"/>
  <c r="O68" i="33"/>
  <c r="O69" i="33"/>
  <c r="O70" i="33"/>
  <c r="O71" i="33"/>
  <c r="O72" i="33"/>
  <c r="O73" i="33"/>
  <c r="O74" i="33"/>
  <c r="O75" i="33"/>
  <c r="O76" i="33"/>
  <c r="O77" i="33"/>
  <c r="O9" i="33"/>
  <c r="N76" i="33"/>
  <c r="N75" i="33"/>
  <c r="N74" i="33"/>
  <c r="N73" i="33"/>
  <c r="N72" i="33"/>
  <c r="N71" i="33"/>
  <c r="N70" i="33"/>
  <c r="N69" i="33"/>
  <c r="N68" i="33"/>
  <c r="N67" i="33"/>
  <c r="N66" i="33"/>
  <c r="N65" i="33"/>
  <c r="N64" i="33"/>
  <c r="N63" i="33"/>
  <c r="N62" i="33"/>
  <c r="N61" i="33"/>
  <c r="N60" i="33"/>
  <c r="N59" i="33"/>
  <c r="N58" i="33"/>
  <c r="N57" i="33"/>
  <c r="N56" i="33"/>
  <c r="N55" i="33"/>
  <c r="N54" i="33"/>
  <c r="N53" i="33"/>
  <c r="N52" i="33"/>
  <c r="N51" i="33"/>
  <c r="N50" i="33"/>
  <c r="N49" i="33"/>
  <c r="N48" i="33"/>
  <c r="N47" i="33"/>
  <c r="N46" i="33"/>
  <c r="N45" i="33"/>
  <c r="N44" i="33"/>
  <c r="N43" i="33"/>
  <c r="N42" i="33"/>
  <c r="N41" i="33"/>
  <c r="N40" i="33"/>
  <c r="N39" i="33"/>
  <c r="N38" i="33"/>
  <c r="N37" i="33"/>
  <c r="N36" i="33"/>
  <c r="N35" i="33"/>
  <c r="N34" i="33"/>
  <c r="N33" i="33"/>
  <c r="N32" i="33"/>
  <c r="N31" i="33"/>
  <c r="N30" i="33"/>
  <c r="N29" i="33"/>
  <c r="N28" i="33"/>
  <c r="N27" i="33"/>
  <c r="N26" i="33"/>
  <c r="N25" i="33"/>
  <c r="N24" i="33"/>
  <c r="N23" i="33"/>
  <c r="N22" i="33"/>
  <c r="N21" i="33"/>
  <c r="N20" i="33"/>
  <c r="N19" i="33"/>
  <c r="N18" i="33"/>
  <c r="N17" i="33"/>
  <c r="N16" i="33"/>
  <c r="N15" i="33"/>
  <c r="N14" i="33"/>
  <c r="N13" i="33"/>
  <c r="N12" i="33"/>
  <c r="N11" i="33"/>
  <c r="M10" i="33"/>
  <c r="N10" i="33" s="1"/>
  <c r="M9" i="33"/>
  <c r="N9" i="33" s="1"/>
  <c r="H7" i="33"/>
  <c r="G7" i="33"/>
  <c r="F7" i="33"/>
  <c r="E7" i="33"/>
  <c r="Q6" i="33"/>
  <c r="V34" i="2" l="1"/>
  <c r="V33" i="2" s="1"/>
  <c r="O33" i="2"/>
  <c r="V44" i="2"/>
  <c r="V42" i="2" s="1"/>
  <c r="M7" i="33"/>
  <c r="N8" i="33"/>
  <c r="N7" i="33" s="1"/>
  <c r="O8" i="33"/>
  <c r="O7" i="33" s="1"/>
  <c r="O52" i="20" l="1"/>
  <c r="R14" i="22" l="1"/>
  <c r="N14" i="22"/>
  <c r="N13" i="22"/>
  <c r="S18" i="20" l="1"/>
  <c r="S20" i="23"/>
  <c r="H20" i="23"/>
  <c r="L20" i="23"/>
  <c r="U20" i="23"/>
  <c r="F132" i="1" l="1"/>
  <c r="G132" i="1"/>
  <c r="H132" i="1"/>
  <c r="I132" i="1"/>
  <c r="J132" i="1"/>
  <c r="K132" i="1"/>
  <c r="L132" i="1"/>
  <c r="M132" i="1"/>
  <c r="N132" i="1"/>
  <c r="P132" i="1"/>
  <c r="Q132" i="1"/>
  <c r="R132" i="1"/>
  <c r="S132" i="1"/>
  <c r="T132" i="1"/>
  <c r="U132" i="1"/>
  <c r="E132" i="1"/>
  <c r="O134" i="1"/>
  <c r="V134" i="1"/>
  <c r="G29" i="17" l="1"/>
  <c r="H29" i="17"/>
  <c r="I29" i="17"/>
  <c r="J29" i="17"/>
  <c r="K29" i="17"/>
  <c r="M29" i="17"/>
  <c r="N29" i="17"/>
  <c r="O29" i="17"/>
  <c r="P29" i="17"/>
  <c r="Q29" i="17"/>
  <c r="R29" i="17"/>
  <c r="F29" i="17"/>
  <c r="L32" i="17"/>
  <c r="S32" i="17" s="1"/>
  <c r="U35" i="23" l="1"/>
  <c r="S35" i="23"/>
  <c r="L35" i="23"/>
  <c r="U34" i="23"/>
  <c r="L34" i="23"/>
  <c r="H34" i="23"/>
  <c r="S34" i="23" l="1"/>
  <c r="S14" i="26"/>
  <c r="S15" i="26"/>
  <c r="L14" i="26"/>
  <c r="L15" i="26"/>
  <c r="O22" i="1" l="1"/>
  <c r="V22" i="1" s="1"/>
  <c r="F48" i="1" l="1"/>
  <c r="G48" i="1"/>
  <c r="I48" i="1"/>
  <c r="J48" i="1"/>
  <c r="K48" i="1"/>
  <c r="L48" i="1"/>
  <c r="M48" i="1"/>
  <c r="P48" i="1"/>
  <c r="Q48" i="1"/>
  <c r="R48" i="1"/>
  <c r="S48" i="1"/>
  <c r="T48" i="1"/>
  <c r="U48" i="1"/>
  <c r="E48" i="1"/>
  <c r="X49" i="1" l="1"/>
  <c r="O49" i="1"/>
  <c r="N49" i="1"/>
  <c r="H49" i="1"/>
  <c r="L28" i="17"/>
  <c r="S28" i="17" s="1"/>
  <c r="F51" i="1"/>
  <c r="G51" i="1"/>
  <c r="I51" i="1"/>
  <c r="J51" i="1"/>
  <c r="K51" i="1"/>
  <c r="L51" i="1"/>
  <c r="M51" i="1"/>
  <c r="P51" i="1"/>
  <c r="Q51" i="1"/>
  <c r="R51" i="1"/>
  <c r="S51" i="1"/>
  <c r="T51" i="1"/>
  <c r="U51" i="1"/>
  <c r="E51" i="1"/>
  <c r="X52" i="1"/>
  <c r="O52" i="1"/>
  <c r="N52" i="1"/>
  <c r="V52" i="1" s="1"/>
  <c r="H52" i="1"/>
  <c r="H6" i="27"/>
  <c r="E11" i="32"/>
  <c r="F19" i="32"/>
  <c r="G19" i="32"/>
  <c r="G65" i="20" s="1"/>
  <c r="H19" i="32"/>
  <c r="I19" i="32"/>
  <c r="I65" i="20" s="1"/>
  <c r="J19" i="32"/>
  <c r="K19" i="32"/>
  <c r="K65" i="20" s="1"/>
  <c r="L19" i="32"/>
  <c r="M19" i="32"/>
  <c r="M65" i="20" s="1"/>
  <c r="N19" i="32"/>
  <c r="P19" i="32"/>
  <c r="Q19" i="32"/>
  <c r="Q65" i="20" s="1"/>
  <c r="R19" i="32"/>
  <c r="S19" i="32"/>
  <c r="S65" i="20" s="1"/>
  <c r="T19" i="32"/>
  <c r="U19" i="32"/>
  <c r="U65" i="20" s="1"/>
  <c r="E19" i="32"/>
  <c r="F66" i="20"/>
  <c r="G66" i="20"/>
  <c r="H66" i="20"/>
  <c r="I66" i="20"/>
  <c r="J66" i="20"/>
  <c r="K66" i="20"/>
  <c r="L66" i="20"/>
  <c r="M66" i="20"/>
  <c r="N66" i="20"/>
  <c r="P66" i="20"/>
  <c r="R66" i="20"/>
  <c r="S66" i="20"/>
  <c r="T66" i="20"/>
  <c r="V66" i="20"/>
  <c r="W66" i="20"/>
  <c r="E66" i="20"/>
  <c r="F65" i="20"/>
  <c r="H65" i="20"/>
  <c r="J65" i="20"/>
  <c r="L65" i="20"/>
  <c r="N65" i="20"/>
  <c r="P65" i="20"/>
  <c r="R65" i="20"/>
  <c r="T65" i="20"/>
  <c r="W65" i="20"/>
  <c r="E65" i="20"/>
  <c r="F64" i="20"/>
  <c r="G64" i="20"/>
  <c r="H64" i="20"/>
  <c r="I64" i="20"/>
  <c r="J64" i="20"/>
  <c r="K64" i="20"/>
  <c r="L64" i="20"/>
  <c r="M64" i="20"/>
  <c r="N64" i="20"/>
  <c r="O64" i="20"/>
  <c r="P64" i="20"/>
  <c r="Q64" i="20"/>
  <c r="R64" i="20"/>
  <c r="S64" i="20"/>
  <c r="T64" i="20"/>
  <c r="U64" i="20"/>
  <c r="V64" i="20"/>
  <c r="W64" i="20"/>
  <c r="E64" i="20"/>
  <c r="F68" i="20"/>
  <c r="G68" i="20"/>
  <c r="H68" i="20"/>
  <c r="I68" i="20"/>
  <c r="J68" i="20"/>
  <c r="K68" i="20"/>
  <c r="L68" i="20"/>
  <c r="M68" i="20"/>
  <c r="N68" i="20"/>
  <c r="P68" i="20"/>
  <c r="Q68" i="20"/>
  <c r="R68" i="20"/>
  <c r="S68" i="20"/>
  <c r="T68" i="20"/>
  <c r="W68" i="20"/>
  <c r="E68" i="20"/>
  <c r="F67" i="20"/>
  <c r="G67" i="20"/>
  <c r="H67" i="20"/>
  <c r="I67" i="20"/>
  <c r="J67" i="20"/>
  <c r="K67" i="20"/>
  <c r="L67" i="20"/>
  <c r="M67" i="20"/>
  <c r="N67" i="20"/>
  <c r="P67" i="20"/>
  <c r="Q67" i="20"/>
  <c r="R67" i="20"/>
  <c r="S67" i="20"/>
  <c r="T67" i="20"/>
  <c r="W67" i="20"/>
  <c r="E67" i="20"/>
  <c r="F63" i="20"/>
  <c r="G63" i="20"/>
  <c r="H63" i="20"/>
  <c r="I63" i="20"/>
  <c r="J63" i="20"/>
  <c r="K63" i="20"/>
  <c r="L63" i="20"/>
  <c r="M63" i="20"/>
  <c r="N63" i="20"/>
  <c r="P63" i="20"/>
  <c r="Q63" i="20"/>
  <c r="R63" i="20"/>
  <c r="S63" i="20"/>
  <c r="T63" i="20"/>
  <c r="U63" i="20"/>
  <c r="W63" i="20"/>
  <c r="E63" i="20"/>
  <c r="F62" i="20"/>
  <c r="G62" i="20"/>
  <c r="H62" i="20"/>
  <c r="I62" i="20"/>
  <c r="J62" i="20"/>
  <c r="K62" i="20"/>
  <c r="L62" i="20"/>
  <c r="M62" i="20"/>
  <c r="P62" i="20"/>
  <c r="S62" i="20"/>
  <c r="T62" i="20"/>
  <c r="W62" i="20"/>
  <c r="E62" i="20"/>
  <c r="F11" i="32"/>
  <c r="H11" i="32"/>
  <c r="J11" i="32"/>
  <c r="L11" i="32"/>
  <c r="P11" i="32"/>
  <c r="T11" i="32"/>
  <c r="O27" i="32"/>
  <c r="V27" i="32" s="1"/>
  <c r="V68" i="20" s="1"/>
  <c r="U68" i="20"/>
  <c r="X26" i="32"/>
  <c r="F24" i="32"/>
  <c r="G24" i="32"/>
  <c r="H24" i="32"/>
  <c r="I24" i="32"/>
  <c r="J24" i="32"/>
  <c r="K24" i="32"/>
  <c r="L24" i="32"/>
  <c r="M24" i="32"/>
  <c r="N24" i="32"/>
  <c r="P24" i="32"/>
  <c r="Q24" i="32"/>
  <c r="R24" i="32"/>
  <c r="S24" i="32"/>
  <c r="T24" i="32"/>
  <c r="U24" i="32"/>
  <c r="U67" i="20" s="1"/>
  <c r="E24" i="32"/>
  <c r="F15" i="32"/>
  <c r="G15" i="32"/>
  <c r="I15" i="32"/>
  <c r="J15" i="32"/>
  <c r="K15" i="32"/>
  <c r="L15" i="32"/>
  <c r="M15" i="32"/>
  <c r="N15" i="32"/>
  <c r="P15" i="32"/>
  <c r="Q15" i="32"/>
  <c r="R15" i="32"/>
  <c r="S15" i="32"/>
  <c r="T15" i="32"/>
  <c r="U15" i="32"/>
  <c r="E15" i="32"/>
  <c r="F22" i="32"/>
  <c r="X22" i="32" s="1"/>
  <c r="G22" i="32"/>
  <c r="H22" i="32"/>
  <c r="I22" i="32"/>
  <c r="J22" i="32"/>
  <c r="K22" i="32"/>
  <c r="L22" i="32"/>
  <c r="M22" i="32"/>
  <c r="N22" i="32"/>
  <c r="P22" i="32"/>
  <c r="Q22" i="32"/>
  <c r="Q66" i="20" s="1"/>
  <c r="R22" i="32"/>
  <c r="S22" i="32"/>
  <c r="T22" i="32"/>
  <c r="U22" i="32"/>
  <c r="U66" i="20" s="1"/>
  <c r="E22" i="32"/>
  <c r="O23" i="32"/>
  <c r="V23" i="32" s="1"/>
  <c r="V22" i="32" s="1"/>
  <c r="V49" i="1" l="1"/>
  <c r="S11" i="32"/>
  <c r="M11" i="32"/>
  <c r="K11" i="32"/>
  <c r="I11" i="32"/>
  <c r="G11" i="32"/>
  <c r="O68" i="20"/>
  <c r="O22" i="32"/>
  <c r="O66" i="20" s="1"/>
  <c r="X20" i="32" l="1"/>
  <c r="O20" i="32"/>
  <c r="H20" i="32"/>
  <c r="X16" i="32"/>
  <c r="O16" i="32"/>
  <c r="O15" i="32" s="1"/>
  <c r="O63" i="20" s="1"/>
  <c r="H16" i="32"/>
  <c r="H15" i="32" s="1"/>
  <c r="O25" i="32"/>
  <c r="X24" i="32"/>
  <c r="O18" i="32"/>
  <c r="V18" i="32" s="1"/>
  <c r="V17" i="32" s="1"/>
  <c r="H18" i="32"/>
  <c r="H17" i="32" s="1"/>
  <c r="U17" i="32"/>
  <c r="T17" i="32"/>
  <c r="S17" i="32"/>
  <c r="R17" i="32"/>
  <c r="Q17" i="32"/>
  <c r="P17" i="32"/>
  <c r="O17" i="32"/>
  <c r="N17" i="32"/>
  <c r="M17" i="32"/>
  <c r="L17" i="32"/>
  <c r="K17" i="32"/>
  <c r="J17" i="32"/>
  <c r="I17" i="32"/>
  <c r="G17" i="32"/>
  <c r="F17" i="32"/>
  <c r="X17" i="32" s="1"/>
  <c r="E17" i="32"/>
  <c r="X15" i="32"/>
  <c r="X14" i="32"/>
  <c r="O14" i="32"/>
  <c r="V14" i="32" s="1"/>
  <c r="V13" i="32" s="1"/>
  <c r="H14" i="32"/>
  <c r="H13" i="32" s="1"/>
  <c r="U13" i="32"/>
  <c r="T13" i="32"/>
  <c r="S13" i="32"/>
  <c r="R13" i="32"/>
  <c r="Q13" i="32"/>
  <c r="P13" i="32"/>
  <c r="N13" i="32"/>
  <c r="M13" i="32"/>
  <c r="L13" i="32"/>
  <c r="K13" i="32"/>
  <c r="J13" i="32"/>
  <c r="I13" i="32"/>
  <c r="G13" i="32"/>
  <c r="F13" i="32"/>
  <c r="E13" i="32"/>
  <c r="R62" i="20" l="1"/>
  <c r="R11" i="32"/>
  <c r="V20" i="32"/>
  <c r="V19" i="32" s="1"/>
  <c r="V65" i="20" s="1"/>
  <c r="O19" i="32"/>
  <c r="O65" i="20" s="1"/>
  <c r="N62" i="20"/>
  <c r="N11" i="32"/>
  <c r="U62" i="20"/>
  <c r="U11" i="32"/>
  <c r="Q62" i="20"/>
  <c r="Q11" i="32"/>
  <c r="V62" i="20"/>
  <c r="V25" i="32"/>
  <c r="V24" i="32" s="1"/>
  <c r="V67" i="20" s="1"/>
  <c r="O24" i="32"/>
  <c r="O67" i="20" s="1"/>
  <c r="V16" i="32"/>
  <c r="V15" i="32" s="1"/>
  <c r="V63" i="20" s="1"/>
  <c r="X19" i="32"/>
  <c r="O13" i="32"/>
  <c r="V11" i="32" l="1"/>
  <c r="O62" i="20"/>
  <c r="O11" i="32"/>
  <c r="F29" i="2"/>
  <c r="G29" i="2"/>
  <c r="H29" i="2"/>
  <c r="I29" i="2"/>
  <c r="J29" i="2"/>
  <c r="K29" i="2"/>
  <c r="L29" i="2"/>
  <c r="M29" i="2"/>
  <c r="N29" i="2"/>
  <c r="P29" i="2"/>
  <c r="Q29" i="2"/>
  <c r="R29" i="2"/>
  <c r="S29" i="2"/>
  <c r="T29" i="2"/>
  <c r="U29" i="2"/>
  <c r="E29" i="2"/>
  <c r="Q51" i="20" l="1"/>
  <c r="Q12" i="2"/>
  <c r="N51" i="20"/>
  <c r="N12" i="2"/>
  <c r="L51" i="20"/>
  <c r="L12" i="2"/>
  <c r="J51" i="20"/>
  <c r="J12" i="2"/>
  <c r="H51" i="20"/>
  <c r="H12" i="2"/>
  <c r="S51" i="20"/>
  <c r="S12" i="2"/>
  <c r="R51" i="20"/>
  <c r="R12" i="2"/>
  <c r="P12" i="2"/>
  <c r="P51" i="20"/>
  <c r="M12" i="2"/>
  <c r="M51" i="20"/>
  <c r="K12" i="2"/>
  <c r="K51" i="20"/>
  <c r="I12" i="2"/>
  <c r="I51" i="20"/>
  <c r="G12" i="2"/>
  <c r="G51" i="20"/>
  <c r="E51" i="20"/>
  <c r="T51" i="20"/>
  <c r="T12" i="2"/>
  <c r="F12" i="2"/>
  <c r="F51" i="20"/>
  <c r="U51" i="20"/>
  <c r="U12" i="2"/>
  <c r="O30" i="2"/>
  <c r="V30" i="2" s="1"/>
  <c r="E47" i="2"/>
  <c r="E58" i="20" s="1"/>
  <c r="O49" i="2"/>
  <c r="O50" i="2"/>
  <c r="V50" i="2" s="1"/>
  <c r="O51" i="2"/>
  <c r="V51" i="2" s="1"/>
  <c r="O52" i="2"/>
  <c r="V52" i="2" s="1"/>
  <c r="O53" i="2"/>
  <c r="V53" i="2" s="1"/>
  <c r="O54" i="2"/>
  <c r="V54" i="2" s="1"/>
  <c r="O48" i="2"/>
  <c r="V48" i="2" s="1"/>
  <c r="F76" i="1"/>
  <c r="G76" i="1"/>
  <c r="H76" i="1"/>
  <c r="I76" i="1"/>
  <c r="J76" i="1"/>
  <c r="K76" i="1"/>
  <c r="L76" i="1"/>
  <c r="M76" i="1"/>
  <c r="N76" i="1"/>
  <c r="P76" i="1"/>
  <c r="Q76" i="1"/>
  <c r="R76" i="1"/>
  <c r="S76" i="1"/>
  <c r="T76" i="1"/>
  <c r="U76" i="1"/>
  <c r="V76" i="1"/>
  <c r="E76" i="1"/>
  <c r="O77" i="1"/>
  <c r="O76" i="1" s="1"/>
  <c r="O78" i="1"/>
  <c r="O79" i="1"/>
  <c r="F71" i="1"/>
  <c r="G71" i="1"/>
  <c r="I71" i="1"/>
  <c r="J71" i="1"/>
  <c r="K71" i="1"/>
  <c r="L71" i="1"/>
  <c r="M71" i="1"/>
  <c r="N71" i="1"/>
  <c r="P71" i="1"/>
  <c r="Q71" i="1"/>
  <c r="R71" i="1"/>
  <c r="S71" i="1"/>
  <c r="S66" i="1" s="1"/>
  <c r="T71" i="1"/>
  <c r="U71" i="1"/>
  <c r="E71" i="1"/>
  <c r="O73" i="1"/>
  <c r="V73" i="1" s="1"/>
  <c r="V49" i="2" l="1"/>
  <c r="V47" i="2" s="1"/>
  <c r="V58" i="20" s="1"/>
  <c r="O47" i="2"/>
  <c r="O58" i="20" s="1"/>
  <c r="O29" i="2"/>
  <c r="X70" i="1"/>
  <c r="O70" i="1"/>
  <c r="V70" i="1" s="1"/>
  <c r="H70" i="1"/>
  <c r="X69" i="1"/>
  <c r="O69" i="1"/>
  <c r="N69" i="1"/>
  <c r="H69" i="1"/>
  <c r="X68" i="1"/>
  <c r="O68" i="1"/>
  <c r="N68" i="1"/>
  <c r="H68" i="1"/>
  <c r="U67" i="1"/>
  <c r="U66" i="1" s="1"/>
  <c r="T67" i="1"/>
  <c r="T66" i="1" s="1"/>
  <c r="R67" i="1"/>
  <c r="R66" i="1" s="1"/>
  <c r="Q67" i="1"/>
  <c r="Q66" i="1" s="1"/>
  <c r="P67" i="1"/>
  <c r="P66" i="1" s="1"/>
  <c r="M67" i="1"/>
  <c r="M66" i="1" s="1"/>
  <c r="L67" i="1"/>
  <c r="L66" i="1" s="1"/>
  <c r="K67" i="1"/>
  <c r="K66" i="1" s="1"/>
  <c r="J67" i="1"/>
  <c r="J66" i="1" s="1"/>
  <c r="I67" i="1"/>
  <c r="I66" i="1" s="1"/>
  <c r="G67" i="1"/>
  <c r="G66" i="1" s="1"/>
  <c r="F67" i="1"/>
  <c r="F66" i="1" s="1"/>
  <c r="E67" i="1"/>
  <c r="E66" i="1" s="1"/>
  <c r="F39" i="1"/>
  <c r="G39" i="1"/>
  <c r="I39" i="1"/>
  <c r="J39" i="1"/>
  <c r="K39" i="1"/>
  <c r="L39" i="1"/>
  <c r="M39" i="1"/>
  <c r="N39" i="1"/>
  <c r="P39" i="1"/>
  <c r="Q39" i="1"/>
  <c r="R39" i="1"/>
  <c r="S39" i="1"/>
  <c r="S36" i="1" s="1"/>
  <c r="T39" i="1"/>
  <c r="U39" i="1"/>
  <c r="E39" i="1"/>
  <c r="O40" i="1"/>
  <c r="V40" i="1" s="1"/>
  <c r="O41" i="1"/>
  <c r="X38" i="1"/>
  <c r="O38" i="1"/>
  <c r="V38" i="1" s="1"/>
  <c r="H38" i="1"/>
  <c r="U37" i="1"/>
  <c r="T37" i="1"/>
  <c r="R37" i="1"/>
  <c r="R36" i="1" s="1"/>
  <c r="Q37" i="1"/>
  <c r="Q36" i="1" s="1"/>
  <c r="P37" i="1"/>
  <c r="P36" i="1" s="1"/>
  <c r="M37" i="1"/>
  <c r="L37" i="1"/>
  <c r="L36" i="1" s="1"/>
  <c r="K37" i="1"/>
  <c r="J37" i="1"/>
  <c r="J36" i="1" s="1"/>
  <c r="I37" i="1"/>
  <c r="G37" i="1"/>
  <c r="F37" i="1"/>
  <c r="X37" i="1" s="1"/>
  <c r="E37" i="1"/>
  <c r="N88" i="1"/>
  <c r="N87" i="1" s="1"/>
  <c r="O88" i="1"/>
  <c r="O87" i="1" s="1"/>
  <c r="H88" i="1"/>
  <c r="H87" i="1" s="1"/>
  <c r="U87" i="1"/>
  <c r="T87" i="1"/>
  <c r="S87" i="1"/>
  <c r="R87" i="1"/>
  <c r="Q87" i="1"/>
  <c r="P87" i="1"/>
  <c r="M87" i="1"/>
  <c r="L87" i="1"/>
  <c r="K87" i="1"/>
  <c r="J87" i="1"/>
  <c r="I87" i="1"/>
  <c r="G87" i="1"/>
  <c r="F87" i="1"/>
  <c r="X87" i="1" s="1"/>
  <c r="E87" i="1"/>
  <c r="O110" i="1"/>
  <c r="V110" i="1" s="1"/>
  <c r="S91" i="1"/>
  <c r="Y93" i="1"/>
  <c r="Z93" i="1" s="1"/>
  <c r="X93" i="1"/>
  <c r="O93" i="1"/>
  <c r="V93" i="1" s="1"/>
  <c r="V92" i="1" s="1"/>
  <c r="H93" i="1"/>
  <c r="U92" i="1"/>
  <c r="T92" i="1"/>
  <c r="R92" i="1"/>
  <c r="Q92" i="1"/>
  <c r="P92" i="1"/>
  <c r="M92" i="1"/>
  <c r="L92" i="1"/>
  <c r="K92" i="1"/>
  <c r="J92" i="1"/>
  <c r="I92" i="1"/>
  <c r="G92" i="1"/>
  <c r="F92" i="1"/>
  <c r="X92" i="1" s="1"/>
  <c r="E92" i="1"/>
  <c r="V29" i="2" l="1"/>
  <c r="O51" i="20"/>
  <c r="M36" i="1"/>
  <c r="K36" i="1"/>
  <c r="I36" i="1"/>
  <c r="F36" i="1"/>
  <c r="N92" i="1"/>
  <c r="O92" i="1"/>
  <c r="E36" i="1"/>
  <c r="N37" i="1"/>
  <c r="V37" i="1" s="1"/>
  <c r="O37" i="1"/>
  <c r="T36" i="1"/>
  <c r="O39" i="1"/>
  <c r="U36" i="1"/>
  <c r="X67" i="1"/>
  <c r="H67" i="1"/>
  <c r="H92" i="1"/>
  <c r="N36" i="1"/>
  <c r="G36" i="1"/>
  <c r="N67" i="1"/>
  <c r="N66" i="1" s="1"/>
  <c r="V68" i="1"/>
  <c r="V69" i="1"/>
  <c r="O67" i="1"/>
  <c r="H37" i="1"/>
  <c r="V88" i="1"/>
  <c r="V87" i="1" s="1"/>
  <c r="O36" i="1" l="1"/>
  <c r="V67" i="1"/>
  <c r="N26" i="1" l="1"/>
  <c r="S26" i="1"/>
  <c r="X28" i="1"/>
  <c r="O28" i="1"/>
  <c r="N28" i="1"/>
  <c r="H28" i="1"/>
  <c r="U27" i="1"/>
  <c r="T27" i="1"/>
  <c r="R27" i="1"/>
  <c r="Q27" i="1"/>
  <c r="P27" i="1"/>
  <c r="O27" i="1"/>
  <c r="M27" i="1"/>
  <c r="L27" i="1"/>
  <c r="K27" i="1"/>
  <c r="J27" i="1"/>
  <c r="I27" i="1"/>
  <c r="G27" i="1"/>
  <c r="F27" i="1"/>
  <c r="E27" i="1"/>
  <c r="F83" i="1"/>
  <c r="F80" i="1" s="1"/>
  <c r="G83" i="1"/>
  <c r="G80" i="1" s="1"/>
  <c r="I83" i="1"/>
  <c r="I80" i="1" s="1"/>
  <c r="J83" i="1"/>
  <c r="J80" i="1" s="1"/>
  <c r="K83" i="1"/>
  <c r="K80" i="1" s="1"/>
  <c r="L83" i="1"/>
  <c r="L80" i="1" s="1"/>
  <c r="M83" i="1"/>
  <c r="M80" i="1" s="1"/>
  <c r="P83" i="1"/>
  <c r="P80" i="1" s="1"/>
  <c r="Q83" i="1"/>
  <c r="Q80" i="1" s="1"/>
  <c r="R83" i="1"/>
  <c r="R80" i="1" s="1"/>
  <c r="S83" i="1"/>
  <c r="S80" i="1" s="1"/>
  <c r="T83" i="1"/>
  <c r="T80" i="1" s="1"/>
  <c r="U83" i="1"/>
  <c r="U80" i="1" s="1"/>
  <c r="E83" i="1"/>
  <c r="E80" i="1" s="1"/>
  <c r="O85" i="1"/>
  <c r="V85" i="1" s="1"/>
  <c r="X124" i="1"/>
  <c r="O124" i="1"/>
  <c r="V124" i="1" s="1"/>
  <c r="H124" i="1"/>
  <c r="X123" i="1"/>
  <c r="O123" i="1"/>
  <c r="V123" i="1" s="1"/>
  <c r="H123" i="1"/>
  <c r="X122" i="1"/>
  <c r="O122" i="1"/>
  <c r="V122" i="1" s="1"/>
  <c r="H122" i="1"/>
  <c r="X121" i="1"/>
  <c r="O121" i="1"/>
  <c r="V121" i="1" s="1"/>
  <c r="H121" i="1"/>
  <c r="U120" i="1"/>
  <c r="T120" i="1"/>
  <c r="S120" i="1"/>
  <c r="R120" i="1"/>
  <c r="Q120" i="1"/>
  <c r="P120" i="1"/>
  <c r="N120" i="1"/>
  <c r="M120" i="1"/>
  <c r="L120" i="1"/>
  <c r="K120" i="1"/>
  <c r="J120" i="1"/>
  <c r="I120" i="1"/>
  <c r="G120" i="1"/>
  <c r="F120" i="1"/>
  <c r="X120" i="1" s="1"/>
  <c r="E120" i="1"/>
  <c r="S111" i="1"/>
  <c r="O113" i="1"/>
  <c r="N113" i="1"/>
  <c r="H113" i="1"/>
  <c r="U112" i="1"/>
  <c r="T112" i="1"/>
  <c r="R112" i="1"/>
  <c r="Q112" i="1"/>
  <c r="P112" i="1"/>
  <c r="O112" i="1"/>
  <c r="M112" i="1"/>
  <c r="L112" i="1"/>
  <c r="K112" i="1"/>
  <c r="J112" i="1"/>
  <c r="I112" i="1"/>
  <c r="G112" i="1"/>
  <c r="F112" i="1"/>
  <c r="X112" i="1" s="1"/>
  <c r="E112" i="1"/>
  <c r="O98" i="1"/>
  <c r="O97" i="1" s="1"/>
  <c r="O96" i="1" s="1"/>
  <c r="Z16" i="1"/>
  <c r="Z15" i="1"/>
  <c r="O131" i="1"/>
  <c r="V131" i="1" s="1"/>
  <c r="O130" i="1"/>
  <c r="V130" i="1" s="1"/>
  <c r="W129" i="1"/>
  <c r="U129" i="1"/>
  <c r="T129" i="1"/>
  <c r="S129" i="1"/>
  <c r="R129" i="1"/>
  <c r="Q129" i="1"/>
  <c r="P129" i="1"/>
  <c r="N129" i="1"/>
  <c r="M129" i="1"/>
  <c r="L129" i="1"/>
  <c r="K129" i="1"/>
  <c r="J129" i="1"/>
  <c r="I129" i="1"/>
  <c r="G129" i="1"/>
  <c r="F129" i="1"/>
  <c r="X129" i="1" s="1"/>
  <c r="E129" i="1"/>
  <c r="F57" i="1"/>
  <c r="G57" i="1"/>
  <c r="I57" i="1"/>
  <c r="J57" i="1"/>
  <c r="K57" i="1"/>
  <c r="L57" i="1"/>
  <c r="M57" i="1"/>
  <c r="N57" i="1"/>
  <c r="P57" i="1"/>
  <c r="Q57" i="1"/>
  <c r="R57" i="1"/>
  <c r="S57" i="1"/>
  <c r="S54" i="1" s="1"/>
  <c r="T57" i="1"/>
  <c r="U57" i="1"/>
  <c r="E57" i="1"/>
  <c r="O58" i="1"/>
  <c r="X56" i="1"/>
  <c r="O56" i="1"/>
  <c r="N56" i="1"/>
  <c r="H56" i="1"/>
  <c r="U55" i="1"/>
  <c r="T55" i="1"/>
  <c r="R55" i="1"/>
  <c r="R54" i="1" s="1"/>
  <c r="Q55" i="1"/>
  <c r="Q54" i="1" s="1"/>
  <c r="P55" i="1"/>
  <c r="P54" i="1" s="1"/>
  <c r="O55" i="1"/>
  <c r="M55" i="1"/>
  <c r="M54" i="1" s="1"/>
  <c r="L55" i="1"/>
  <c r="L54" i="1" s="1"/>
  <c r="K55" i="1"/>
  <c r="K54" i="1" s="1"/>
  <c r="J55" i="1"/>
  <c r="I55" i="1"/>
  <c r="G55" i="1"/>
  <c r="G54" i="1" s="1"/>
  <c r="F55" i="1"/>
  <c r="X55" i="1" s="1"/>
  <c r="E55" i="1"/>
  <c r="R16" i="22"/>
  <c r="U19" i="26"/>
  <c r="L19" i="26"/>
  <c r="H19" i="26"/>
  <c r="G23" i="17"/>
  <c r="H23" i="17"/>
  <c r="I23" i="17"/>
  <c r="J23" i="17"/>
  <c r="K23" i="17"/>
  <c r="M23" i="17"/>
  <c r="N23" i="17"/>
  <c r="O23" i="17"/>
  <c r="P23" i="17"/>
  <c r="Q23" i="17"/>
  <c r="R23" i="17"/>
  <c r="F23" i="17"/>
  <c r="L26" i="17"/>
  <c r="S26" i="17" s="1"/>
  <c r="L25" i="17"/>
  <c r="S25" i="17" s="1"/>
  <c r="W27" i="17"/>
  <c r="L27" i="17"/>
  <c r="S27" i="17" s="1"/>
  <c r="H120" i="1" l="1"/>
  <c r="N112" i="1"/>
  <c r="O120" i="1"/>
  <c r="V120" i="1"/>
  <c r="V28" i="1"/>
  <c r="V27" i="1" s="1"/>
  <c r="H27" i="1"/>
  <c r="E54" i="1"/>
  <c r="T54" i="1"/>
  <c r="V129" i="1"/>
  <c r="X27" i="1"/>
  <c r="H55" i="1"/>
  <c r="U54" i="1"/>
  <c r="V56" i="1"/>
  <c r="V55" i="1" s="1"/>
  <c r="F54" i="1"/>
  <c r="V113" i="1"/>
  <c r="V112" i="1" s="1"/>
  <c r="H112" i="1"/>
  <c r="I54" i="1"/>
  <c r="N55" i="1"/>
  <c r="N54" i="1" s="1"/>
  <c r="J54" i="1"/>
  <c r="O129" i="1"/>
  <c r="H129" i="1"/>
  <c r="V58" i="1"/>
  <c r="S19" i="26"/>
  <c r="A2" i="27" l="1"/>
  <c r="U33" i="23"/>
  <c r="U14" i="23"/>
  <c r="U15" i="23"/>
  <c r="U16" i="23"/>
  <c r="U17" i="23"/>
  <c r="U18" i="23"/>
  <c r="U19" i="23"/>
  <c r="U21" i="23"/>
  <c r="U22" i="23"/>
  <c r="U23" i="23"/>
  <c r="U24" i="23"/>
  <c r="U25" i="23"/>
  <c r="U26" i="23"/>
  <c r="U27" i="23"/>
  <c r="U28" i="23"/>
  <c r="U29" i="23"/>
  <c r="U30" i="23"/>
  <c r="U31" i="23"/>
  <c r="U32" i="23"/>
  <c r="U13" i="23"/>
  <c r="W15" i="22"/>
  <c r="W17" i="22"/>
  <c r="W19" i="22"/>
  <c r="W13" i="22"/>
  <c r="W59" i="20"/>
  <c r="Q26" i="22"/>
  <c r="K26" i="22"/>
  <c r="J26" i="22"/>
  <c r="V26" i="22" s="1"/>
  <c r="F89" i="1"/>
  <c r="F86" i="1" s="1"/>
  <c r="G89" i="1"/>
  <c r="G86" i="1" s="1"/>
  <c r="I89" i="1"/>
  <c r="I86" i="1" s="1"/>
  <c r="J89" i="1"/>
  <c r="J86" i="1" s="1"/>
  <c r="K89" i="1"/>
  <c r="K86" i="1" s="1"/>
  <c r="L89" i="1"/>
  <c r="L86" i="1" s="1"/>
  <c r="M89" i="1"/>
  <c r="M86" i="1" s="1"/>
  <c r="P89" i="1"/>
  <c r="P86" i="1" s="1"/>
  <c r="Q89" i="1"/>
  <c r="Q86" i="1" s="1"/>
  <c r="R89" i="1"/>
  <c r="R86" i="1" s="1"/>
  <c r="S89" i="1"/>
  <c r="S86" i="1" s="1"/>
  <c r="T89" i="1"/>
  <c r="T86" i="1" s="1"/>
  <c r="U89" i="1"/>
  <c r="U86" i="1" s="1"/>
  <c r="E89" i="1"/>
  <c r="E86" i="1" s="1"/>
  <c r="F17" i="1"/>
  <c r="G17" i="1"/>
  <c r="I17" i="1"/>
  <c r="J17" i="1"/>
  <c r="K17" i="1"/>
  <c r="L17" i="1"/>
  <c r="M17" i="1"/>
  <c r="N17" i="1"/>
  <c r="P17" i="1"/>
  <c r="Q17" i="1"/>
  <c r="R17" i="1"/>
  <c r="S17" i="1"/>
  <c r="T17" i="1"/>
  <c r="U17" i="1"/>
  <c r="E17" i="1"/>
  <c r="W26" i="22" l="1"/>
  <c r="I6" i="27"/>
  <c r="H61" i="20"/>
  <c r="F109" i="1"/>
  <c r="G109" i="1"/>
  <c r="H109" i="1"/>
  <c r="I109" i="1"/>
  <c r="J109" i="1"/>
  <c r="K109" i="1"/>
  <c r="L109" i="1"/>
  <c r="M109" i="1"/>
  <c r="N109" i="1"/>
  <c r="P109" i="1"/>
  <c r="Q109" i="1"/>
  <c r="R109" i="1"/>
  <c r="S109" i="1"/>
  <c r="S103" i="1" s="1"/>
  <c r="T109" i="1"/>
  <c r="U109" i="1"/>
  <c r="E109" i="1"/>
  <c r="O109" i="1"/>
  <c r="W109" i="1"/>
  <c r="W107" i="1" s="1"/>
  <c r="X109" i="1"/>
  <c r="I61" i="20"/>
  <c r="J61" i="20"/>
  <c r="K61" i="20"/>
  <c r="M61" i="20"/>
  <c r="N61" i="20"/>
  <c r="P61" i="20"/>
  <c r="S61" i="20"/>
  <c r="T61" i="20"/>
  <c r="U61" i="20"/>
  <c r="E61" i="20"/>
  <c r="A3" i="32"/>
  <c r="O90" i="1"/>
  <c r="O89" i="1" s="1"/>
  <c r="O86" i="1" s="1"/>
  <c r="N90" i="1"/>
  <c r="N89" i="1" s="1"/>
  <c r="N86" i="1" s="1"/>
  <c r="H90" i="1"/>
  <c r="H89" i="1" s="1"/>
  <c r="H86" i="1" s="1"/>
  <c r="X18" i="1"/>
  <c r="O18" i="1"/>
  <c r="H18" i="1"/>
  <c r="H17" i="1" s="1"/>
  <c r="F13" i="24"/>
  <c r="Q61" i="20" l="1"/>
  <c r="L61" i="20"/>
  <c r="G61" i="20"/>
  <c r="R61" i="20"/>
  <c r="D13" i="27" s="1"/>
  <c r="C13" i="27" s="1"/>
  <c r="F61" i="20"/>
  <c r="V18" i="1"/>
  <c r="V17" i="1" s="1"/>
  <c r="O17" i="1"/>
  <c r="V109" i="1"/>
  <c r="V90" i="1"/>
  <c r="V89" i="1" s="1"/>
  <c r="V86" i="1" s="1"/>
  <c r="O61" i="20"/>
  <c r="V61" i="20"/>
  <c r="F21" i="22"/>
  <c r="G21" i="22"/>
  <c r="H21" i="22"/>
  <c r="I21" i="22"/>
  <c r="L21" i="22"/>
  <c r="M21" i="22"/>
  <c r="O21" i="22"/>
  <c r="P21" i="22"/>
  <c r="T21" i="22"/>
  <c r="U21" i="22"/>
  <c r="E21" i="22"/>
  <c r="F12" i="22"/>
  <c r="F11" i="22" s="1"/>
  <c r="G12" i="22"/>
  <c r="G11" i="22" s="1"/>
  <c r="H12" i="22"/>
  <c r="I12" i="22"/>
  <c r="L12" i="22"/>
  <c r="L11" i="22" s="1"/>
  <c r="M12" i="22"/>
  <c r="M11" i="22" s="1"/>
  <c r="O12" i="22"/>
  <c r="O11" i="22" s="1"/>
  <c r="P12" i="22"/>
  <c r="P11" i="22" s="1"/>
  <c r="T12" i="22"/>
  <c r="U12" i="22"/>
  <c r="U11" i="22" s="1"/>
  <c r="E12" i="22"/>
  <c r="S20" i="22"/>
  <c r="R20" i="22"/>
  <c r="N20" i="22"/>
  <c r="K20" i="22"/>
  <c r="J20" i="22"/>
  <c r="S19" i="22"/>
  <c r="R19" i="22"/>
  <c r="N19" i="22"/>
  <c r="K19" i="22"/>
  <c r="J19" i="22"/>
  <c r="S18" i="22"/>
  <c r="R18" i="22"/>
  <c r="N18" i="22"/>
  <c r="K18" i="22"/>
  <c r="J18" i="22"/>
  <c r="S17" i="22"/>
  <c r="R17" i="22"/>
  <c r="N17" i="22"/>
  <c r="K17" i="22"/>
  <c r="J17" i="22"/>
  <c r="S16" i="22"/>
  <c r="N16" i="22"/>
  <c r="K16" i="22"/>
  <c r="J16" i="22"/>
  <c r="Q11" i="26"/>
  <c r="Y36" i="26"/>
  <c r="X36" i="26"/>
  <c r="Y35" i="26"/>
  <c r="X35" i="26"/>
  <c r="X34" i="26"/>
  <c r="T34" i="26"/>
  <c r="G34" i="26"/>
  <c r="Y34" i="26" s="1"/>
  <c r="F34" i="26"/>
  <c r="X32" i="26"/>
  <c r="G32" i="26"/>
  <c r="Y32" i="26" s="1"/>
  <c r="F32" i="26"/>
  <c r="F31" i="26" s="1"/>
  <c r="X31" i="26"/>
  <c r="L30" i="26"/>
  <c r="H30" i="26"/>
  <c r="S30" i="26" s="1"/>
  <c r="L29" i="26"/>
  <c r="H29" i="26"/>
  <c r="L28" i="26"/>
  <c r="H28" i="26"/>
  <c r="S28" i="26" s="1"/>
  <c r="L27" i="26"/>
  <c r="H27" i="26"/>
  <c r="L26" i="26"/>
  <c r="H26" i="26"/>
  <c r="S26" i="26" s="1"/>
  <c r="L25" i="26"/>
  <c r="H25" i="26"/>
  <c r="L24" i="26"/>
  <c r="H24" i="26"/>
  <c r="S24" i="26" s="1"/>
  <c r="L23" i="26"/>
  <c r="H23" i="26"/>
  <c r="L22" i="26"/>
  <c r="H22" i="26"/>
  <c r="S22" i="26" s="1"/>
  <c r="L21" i="26"/>
  <c r="H21" i="26"/>
  <c r="L20" i="26"/>
  <c r="H20" i="26"/>
  <c r="S20" i="26" s="1"/>
  <c r="L18" i="26"/>
  <c r="H18" i="26"/>
  <c r="L17" i="26"/>
  <c r="H17" i="26"/>
  <c r="S17" i="26" s="1"/>
  <c r="L16" i="26"/>
  <c r="H16" i="26"/>
  <c r="L13" i="26"/>
  <c r="H13" i="26"/>
  <c r="U12" i="26"/>
  <c r="U11" i="26" s="1"/>
  <c r="T12" i="26"/>
  <c r="T11" i="26" s="1"/>
  <c r="R12" i="26"/>
  <c r="R11" i="26" s="1"/>
  <c r="Q12" i="26"/>
  <c r="P12" i="26"/>
  <c r="P11" i="26" s="1"/>
  <c r="O12" i="26"/>
  <c r="O11" i="26" s="1"/>
  <c r="N12" i="26"/>
  <c r="N11" i="26" s="1"/>
  <c r="M12" i="26"/>
  <c r="M11" i="26" s="1"/>
  <c r="L12" i="26"/>
  <c r="L11" i="26" s="1"/>
  <c r="K12" i="26"/>
  <c r="K11" i="26" s="1"/>
  <c r="J12" i="26"/>
  <c r="J11" i="26" s="1"/>
  <c r="I12" i="26"/>
  <c r="G12" i="26"/>
  <c r="G11" i="26" s="1"/>
  <c r="F19" i="20" s="1"/>
  <c r="F12" i="26"/>
  <c r="F11" i="26" s="1"/>
  <c r="E19" i="20" s="1"/>
  <c r="A3" i="26"/>
  <c r="I11" i="22" l="1"/>
  <c r="H11" i="22"/>
  <c r="H12" i="26"/>
  <c r="H11" i="26" s="1"/>
  <c r="N19" i="20" s="1"/>
  <c r="R19" i="20"/>
  <c r="D9" i="27"/>
  <c r="C9" i="27" s="1"/>
  <c r="V16" i="22"/>
  <c r="Q17" i="22"/>
  <c r="E11" i="22"/>
  <c r="T11" i="22"/>
  <c r="Q18" i="22"/>
  <c r="W18" i="22" s="1"/>
  <c r="Q19" i="22"/>
  <c r="I11" i="26"/>
  <c r="V17" i="22"/>
  <c r="V19" i="22"/>
  <c r="S16" i="26"/>
  <c r="S18" i="26"/>
  <c r="S21" i="26"/>
  <c r="S23" i="26"/>
  <c r="S25" i="26"/>
  <c r="S27" i="26"/>
  <c r="S29" i="26"/>
  <c r="V20" i="22"/>
  <c r="V18" i="22"/>
  <c r="Q20" i="22"/>
  <c r="W20" i="22" s="1"/>
  <c r="Q16" i="22"/>
  <c r="W16" i="22" s="1"/>
  <c r="S13" i="26"/>
  <c r="G31" i="26"/>
  <c r="Y31" i="26" s="1"/>
  <c r="W11" i="26"/>
  <c r="S12" i="26" l="1"/>
  <c r="S11" i="26" s="1"/>
  <c r="O47" i="1"/>
  <c r="O30" i="1"/>
  <c r="O23" i="1"/>
  <c r="O21" i="1"/>
  <c r="O15" i="1"/>
  <c r="O16" i="1"/>
  <c r="L16" i="23"/>
  <c r="L17" i="23"/>
  <c r="L18" i="23"/>
  <c r="L19" i="23"/>
  <c r="L21" i="23"/>
  <c r="L22" i="23"/>
  <c r="L23" i="23"/>
  <c r="L24" i="23"/>
  <c r="L25" i="23"/>
  <c r="L26" i="23"/>
  <c r="L27" i="23"/>
  <c r="L28" i="23"/>
  <c r="L29" i="23"/>
  <c r="L30" i="23"/>
  <c r="L31" i="23"/>
  <c r="L32" i="23"/>
  <c r="L33" i="23"/>
  <c r="L13" i="23"/>
  <c r="G12" i="17" l="1"/>
  <c r="H12" i="17"/>
  <c r="I12" i="17"/>
  <c r="J12" i="17"/>
  <c r="K12" i="17"/>
  <c r="M12" i="17"/>
  <c r="N12" i="17"/>
  <c r="O12" i="17"/>
  <c r="P12" i="17"/>
  <c r="Q12" i="17"/>
  <c r="R12" i="17"/>
  <c r="L14" i="17"/>
  <c r="S14" i="17" s="1"/>
  <c r="L15" i="17"/>
  <c r="L16" i="17"/>
  <c r="S16" i="17" s="1"/>
  <c r="L17" i="17"/>
  <c r="S17" i="17" s="1"/>
  <c r="L18" i="17"/>
  <c r="S18" i="17" s="1"/>
  <c r="L19" i="17"/>
  <c r="S19" i="17" s="1"/>
  <c r="L20" i="17"/>
  <c r="S20" i="17" s="1"/>
  <c r="L22" i="17"/>
  <c r="S22" i="17" s="1"/>
  <c r="L13" i="17"/>
  <c r="S13" i="17" s="1"/>
  <c r="L24" i="17"/>
  <c r="L23" i="17" s="1"/>
  <c r="F128" i="1"/>
  <c r="G128" i="1"/>
  <c r="I128" i="1"/>
  <c r="J128" i="1"/>
  <c r="K128" i="1"/>
  <c r="L128" i="1"/>
  <c r="M128" i="1"/>
  <c r="N128" i="1"/>
  <c r="P128" i="1"/>
  <c r="Q128" i="1"/>
  <c r="R128" i="1"/>
  <c r="S128" i="1"/>
  <c r="T128" i="1"/>
  <c r="U128" i="1"/>
  <c r="F125" i="1"/>
  <c r="F119" i="1" s="1"/>
  <c r="G125" i="1"/>
  <c r="G119" i="1" s="1"/>
  <c r="I125" i="1"/>
  <c r="I119" i="1" s="1"/>
  <c r="J125" i="1"/>
  <c r="J119" i="1" s="1"/>
  <c r="K125" i="1"/>
  <c r="K119" i="1" s="1"/>
  <c r="L125" i="1"/>
  <c r="L119" i="1" s="1"/>
  <c r="M125" i="1"/>
  <c r="M119" i="1" s="1"/>
  <c r="N125" i="1"/>
  <c r="N119" i="1" s="1"/>
  <c r="P125" i="1"/>
  <c r="P119" i="1" s="1"/>
  <c r="Q125" i="1"/>
  <c r="Q119" i="1" s="1"/>
  <c r="R125" i="1"/>
  <c r="R119" i="1" s="1"/>
  <c r="S125" i="1"/>
  <c r="S119" i="1" s="1"/>
  <c r="T125" i="1"/>
  <c r="T119" i="1" s="1"/>
  <c r="U125" i="1"/>
  <c r="U119" i="1" s="1"/>
  <c r="F24" i="1"/>
  <c r="G24" i="1"/>
  <c r="H24" i="1"/>
  <c r="I24" i="1"/>
  <c r="J24" i="1"/>
  <c r="K24" i="1"/>
  <c r="L24" i="1"/>
  <c r="M24" i="1"/>
  <c r="N24" i="1"/>
  <c r="O24" i="1"/>
  <c r="P24" i="1"/>
  <c r="Q24" i="1"/>
  <c r="R24" i="1"/>
  <c r="S24" i="1"/>
  <c r="T24" i="1"/>
  <c r="U24" i="1"/>
  <c r="V24" i="1"/>
  <c r="E24" i="1"/>
  <c r="F20" i="1"/>
  <c r="G20" i="1"/>
  <c r="I20" i="1"/>
  <c r="J20" i="1"/>
  <c r="K20" i="1"/>
  <c r="L20" i="1"/>
  <c r="M20" i="1"/>
  <c r="P20" i="1"/>
  <c r="Q20" i="1"/>
  <c r="R20" i="1"/>
  <c r="S20" i="1"/>
  <c r="T20" i="1"/>
  <c r="U20" i="1"/>
  <c r="E20" i="1"/>
  <c r="O11" i="17" l="1"/>
  <c r="D7" i="27" s="1"/>
  <c r="H11" i="17"/>
  <c r="P11" i="17"/>
  <c r="Q11" i="17"/>
  <c r="M11" i="17"/>
  <c r="E7" i="27" s="1"/>
  <c r="K11" i="17"/>
  <c r="I11" i="17"/>
  <c r="G11" i="17"/>
  <c r="O15" i="20"/>
  <c r="R11" i="17"/>
  <c r="N11" i="17"/>
  <c r="F7" i="27" s="1"/>
  <c r="J11" i="17"/>
  <c r="S24" i="17"/>
  <c r="S23" i="17" s="1"/>
  <c r="L12" i="17"/>
  <c r="S15" i="17"/>
  <c r="S12" i="17" s="1"/>
  <c r="Z13" i="1"/>
  <c r="C7" i="27" l="1"/>
  <c r="D7" i="24"/>
  <c r="D6" i="24" s="1"/>
  <c r="E7" i="24"/>
  <c r="E6" i="24" s="1"/>
  <c r="C7" i="24"/>
  <c r="F9" i="24"/>
  <c r="F10" i="24"/>
  <c r="F11" i="24"/>
  <c r="F12" i="24"/>
  <c r="F16" i="24"/>
  <c r="F17" i="24"/>
  <c r="F8" i="24"/>
  <c r="F7" i="24" s="1"/>
  <c r="F6" i="24" s="1"/>
  <c r="E9" i="25" l="1"/>
  <c r="D7" i="25"/>
  <c r="C7" i="25"/>
  <c r="Y24" i="17"/>
  <c r="X24" i="17"/>
  <c r="W24" i="17"/>
  <c r="H6" i="25" l="1"/>
  <c r="R69" i="20"/>
  <c r="D14" i="27" s="1"/>
  <c r="C14" i="27" s="1"/>
  <c r="L30" i="17"/>
  <c r="O133" i="1"/>
  <c r="O132" i="1" s="1"/>
  <c r="W132" i="1"/>
  <c r="X132" i="1"/>
  <c r="E128" i="1"/>
  <c r="X59" i="1"/>
  <c r="O59" i="1"/>
  <c r="O57" i="1" s="1"/>
  <c r="O54" i="1" s="1"/>
  <c r="H59" i="1"/>
  <c r="H57" i="1" s="1"/>
  <c r="H54" i="1" s="1"/>
  <c r="S30" i="17" l="1"/>
  <c r="S29" i="17" s="1"/>
  <c r="L29" i="17"/>
  <c r="H128" i="1"/>
  <c r="X57" i="1"/>
  <c r="V133" i="1"/>
  <c r="O128" i="1"/>
  <c r="V59" i="1"/>
  <c r="V57" i="1" s="1"/>
  <c r="V54" i="1" s="1"/>
  <c r="G17" i="20"/>
  <c r="H17" i="20"/>
  <c r="I17" i="20"/>
  <c r="J17" i="20"/>
  <c r="K17" i="20"/>
  <c r="L17" i="20"/>
  <c r="M17" i="20"/>
  <c r="P17" i="20"/>
  <c r="Q17" i="20"/>
  <c r="T17" i="20"/>
  <c r="U17" i="20"/>
  <c r="O19" i="20"/>
  <c r="Z19" i="20"/>
  <c r="AA19" i="20"/>
  <c r="Z15" i="20"/>
  <c r="V15" i="20"/>
  <c r="U15" i="20"/>
  <c r="T15" i="20"/>
  <c r="S15" i="20"/>
  <c r="M15" i="20"/>
  <c r="L15" i="20"/>
  <c r="K15" i="20"/>
  <c r="J15" i="20"/>
  <c r="I15" i="20"/>
  <c r="H15" i="20"/>
  <c r="G15" i="20"/>
  <c r="R15" i="22"/>
  <c r="R22" i="22"/>
  <c r="R23" i="22"/>
  <c r="R24" i="22"/>
  <c r="R25" i="22"/>
  <c r="R13" i="22"/>
  <c r="N15" i="22"/>
  <c r="N22" i="22"/>
  <c r="N23" i="22"/>
  <c r="N24" i="22"/>
  <c r="N25" i="22"/>
  <c r="K14" i="22"/>
  <c r="K15" i="22"/>
  <c r="K22" i="22"/>
  <c r="K23" i="22"/>
  <c r="K24" i="22"/>
  <c r="K25" i="22"/>
  <c r="K13" i="22"/>
  <c r="F16" i="20"/>
  <c r="N16" i="20"/>
  <c r="P16" i="20"/>
  <c r="Q16" i="20"/>
  <c r="R16" i="20"/>
  <c r="F15" i="20"/>
  <c r="AA15" i="20" s="1"/>
  <c r="N15" i="20"/>
  <c r="P15" i="20"/>
  <c r="Q15" i="20"/>
  <c r="R15" i="20"/>
  <c r="E15" i="20"/>
  <c r="H14" i="23"/>
  <c r="H15" i="23"/>
  <c r="H17" i="23"/>
  <c r="H18" i="23"/>
  <c r="H19" i="23"/>
  <c r="H21" i="23"/>
  <c r="H22" i="23"/>
  <c r="H23" i="23"/>
  <c r="H24" i="23"/>
  <c r="H25" i="23"/>
  <c r="H26" i="23"/>
  <c r="H27" i="23"/>
  <c r="H28" i="23"/>
  <c r="H29" i="23"/>
  <c r="H30" i="23"/>
  <c r="H31" i="23"/>
  <c r="H32" i="23"/>
  <c r="H33" i="23"/>
  <c r="H13" i="23"/>
  <c r="G12" i="23"/>
  <c r="G11" i="23" s="1"/>
  <c r="I12" i="23"/>
  <c r="I11" i="23" s="1"/>
  <c r="J12" i="23"/>
  <c r="J11" i="23" s="1"/>
  <c r="K12" i="23"/>
  <c r="K11" i="23" s="1"/>
  <c r="M12" i="23"/>
  <c r="M11" i="23" s="1"/>
  <c r="N12" i="23"/>
  <c r="N11" i="23" s="1"/>
  <c r="O12" i="23"/>
  <c r="P12" i="23"/>
  <c r="P11" i="23" s="1"/>
  <c r="Q12" i="23"/>
  <c r="Q11" i="23" s="1"/>
  <c r="R12" i="23"/>
  <c r="R11" i="23" s="1"/>
  <c r="U12" i="23"/>
  <c r="U11" i="23" s="1"/>
  <c r="V12" i="23"/>
  <c r="V11" i="23" s="1"/>
  <c r="F12" i="23"/>
  <c r="V132" i="1" l="1"/>
  <c r="V128" i="1" s="1"/>
  <c r="K12" i="22"/>
  <c r="N12" i="22"/>
  <c r="R21" i="22"/>
  <c r="E18" i="20"/>
  <c r="F11" i="23"/>
  <c r="K21" i="22"/>
  <c r="K11" i="22" s="1"/>
  <c r="N21" i="22"/>
  <c r="R12" i="22"/>
  <c r="R18" i="20"/>
  <c r="O18" i="20" s="1"/>
  <c r="O11" i="23"/>
  <c r="D8" i="27" s="1"/>
  <c r="S11" i="17"/>
  <c r="E16" i="20"/>
  <c r="F18" i="20"/>
  <c r="Y19" i="20"/>
  <c r="Y15" i="20"/>
  <c r="H12" i="23"/>
  <c r="H11" i="23" s="1"/>
  <c r="W20" i="17"/>
  <c r="S25" i="23"/>
  <c r="C8" i="27" l="1"/>
  <c r="R11" i="22"/>
  <c r="G10" i="27" s="1"/>
  <c r="G6" i="27" s="1"/>
  <c r="N11" i="22"/>
  <c r="O16" i="20"/>
  <c r="L11" i="17"/>
  <c r="N18" i="20"/>
  <c r="S13" i="23"/>
  <c r="L14" i="23"/>
  <c r="S14" i="23" s="1"/>
  <c r="L15" i="23"/>
  <c r="S16" i="23"/>
  <c r="S17" i="23"/>
  <c r="S18" i="23"/>
  <c r="S19" i="23"/>
  <c r="S21" i="23"/>
  <c r="S22" i="23"/>
  <c r="S23" i="23"/>
  <c r="S24" i="23"/>
  <c r="S26" i="23"/>
  <c r="S27" i="23"/>
  <c r="S28" i="23"/>
  <c r="S29" i="23"/>
  <c r="S30" i="23"/>
  <c r="S31" i="23"/>
  <c r="S32" i="23"/>
  <c r="S33" i="23"/>
  <c r="Z41" i="23"/>
  <c r="Y41" i="23"/>
  <c r="Z40" i="23"/>
  <c r="Y40" i="23"/>
  <c r="Y39" i="23"/>
  <c r="U39" i="23"/>
  <c r="G39" i="23"/>
  <c r="Z39" i="23" s="1"/>
  <c r="F39" i="23"/>
  <c r="Y37" i="23"/>
  <c r="G37" i="23"/>
  <c r="Z37" i="23" s="1"/>
  <c r="F37" i="23"/>
  <c r="Y36" i="23"/>
  <c r="X11" i="23"/>
  <c r="A3" i="23"/>
  <c r="A4" i="22" s="1"/>
  <c r="F12" i="17"/>
  <c r="F11" i="17" s="1"/>
  <c r="R14" i="20" l="1"/>
  <c r="R13" i="20" s="1"/>
  <c r="P14" i="20"/>
  <c r="P13" i="20" s="1"/>
  <c r="P12" i="20" s="1"/>
  <c r="E14" i="20"/>
  <c r="E13" i="20" s="1"/>
  <c r="Q14" i="20"/>
  <c r="Q13" i="20" s="1"/>
  <c r="Q12" i="20" s="1"/>
  <c r="N14" i="20"/>
  <c r="N13" i="20" s="1"/>
  <c r="F14" i="20"/>
  <c r="F13" i="20" s="1"/>
  <c r="V19" i="20"/>
  <c r="S15" i="23"/>
  <c r="L12" i="23"/>
  <c r="L11" i="23" s="1"/>
  <c r="S12" i="23"/>
  <c r="G36" i="23"/>
  <c r="Z36" i="23" s="1"/>
  <c r="F36" i="23"/>
  <c r="V18" i="20" l="1"/>
  <c r="V17" i="20" s="1"/>
  <c r="S11" i="23"/>
  <c r="S14" i="22"/>
  <c r="S15" i="22"/>
  <c r="Q15" i="22" s="1"/>
  <c r="S23" i="22"/>
  <c r="Q23" i="22" s="1"/>
  <c r="S24" i="22"/>
  <c r="Q24" i="22" s="1"/>
  <c r="S25" i="22"/>
  <c r="Q25" i="22" s="1"/>
  <c r="S13" i="22" l="1"/>
  <c r="Q13" i="22" s="1"/>
  <c r="S22" i="22"/>
  <c r="Q14" i="22"/>
  <c r="W14" i="22" s="1"/>
  <c r="W12" i="22" s="1"/>
  <c r="F20" i="20"/>
  <c r="F17" i="20" s="1"/>
  <c r="F12" i="20" s="1"/>
  <c r="E20" i="20"/>
  <c r="E17" i="20" s="1"/>
  <c r="E12" i="20" s="1"/>
  <c r="Q22" i="22" l="1"/>
  <c r="Q21" i="22" s="1"/>
  <c r="S21" i="22"/>
  <c r="Q12" i="22"/>
  <c r="V13" i="22"/>
  <c r="S12" i="22"/>
  <c r="S20" i="20"/>
  <c r="S17" i="20" s="1"/>
  <c r="V14" i="22"/>
  <c r="J15" i="22"/>
  <c r="V15" i="22" s="1"/>
  <c r="J22" i="22"/>
  <c r="W22" i="22" s="1"/>
  <c r="J23" i="22"/>
  <c r="J24" i="22"/>
  <c r="J25" i="22"/>
  <c r="Y6" i="22"/>
  <c r="V25" i="22" l="1"/>
  <c r="W25" i="22"/>
  <c r="V24" i="22"/>
  <c r="W24" i="22"/>
  <c r="V23" i="22"/>
  <c r="W23" i="22"/>
  <c r="Q11" i="22"/>
  <c r="V12" i="22"/>
  <c r="S11" i="22"/>
  <c r="V22" i="22"/>
  <c r="J21" i="22"/>
  <c r="W21" i="22" s="1"/>
  <c r="W11" i="22" s="1"/>
  <c r="J12" i="22"/>
  <c r="V21" i="22" l="1"/>
  <c r="V11" i="22" s="1"/>
  <c r="V20" i="20" s="1"/>
  <c r="R20" i="20"/>
  <c r="D10" i="27"/>
  <c r="J11" i="22"/>
  <c r="N20" i="20" s="1"/>
  <c r="N17" i="20" s="1"/>
  <c r="N12" i="20" s="1"/>
  <c r="F64" i="1"/>
  <c r="G64" i="1"/>
  <c r="I64" i="1"/>
  <c r="J64" i="1"/>
  <c r="K64" i="1"/>
  <c r="L64" i="1"/>
  <c r="M64" i="1"/>
  <c r="P64" i="1"/>
  <c r="Q64" i="1"/>
  <c r="R64" i="1"/>
  <c r="S64" i="1"/>
  <c r="T64" i="1"/>
  <c r="U64" i="1"/>
  <c r="E64" i="1"/>
  <c r="F61" i="1"/>
  <c r="G61" i="1"/>
  <c r="I61" i="1"/>
  <c r="I60" i="1" s="1"/>
  <c r="J61" i="1"/>
  <c r="J60" i="1" s="1"/>
  <c r="K61" i="1"/>
  <c r="L61" i="1"/>
  <c r="M61" i="1"/>
  <c r="M60" i="1" s="1"/>
  <c r="P61" i="1"/>
  <c r="P60" i="1" s="1"/>
  <c r="Q61" i="1"/>
  <c r="R61" i="1"/>
  <c r="S61" i="1"/>
  <c r="S60" i="1" s="1"/>
  <c r="T61" i="1"/>
  <c r="T60" i="1" s="1"/>
  <c r="U61" i="1"/>
  <c r="E61" i="1"/>
  <c r="R17" i="20" l="1"/>
  <c r="R12" i="20" s="1"/>
  <c r="O20" i="20"/>
  <c r="C10" i="27"/>
  <c r="U60" i="1"/>
  <c r="Q60" i="1"/>
  <c r="K60" i="1"/>
  <c r="F60" i="1"/>
  <c r="E60" i="1"/>
  <c r="L60" i="1"/>
  <c r="G60" i="1"/>
  <c r="R60" i="1"/>
  <c r="AA20" i="20"/>
  <c r="AA18" i="20"/>
  <c r="G14" i="20"/>
  <c r="G13" i="20" s="1"/>
  <c r="G12" i="20" s="1"/>
  <c r="I14" i="20"/>
  <c r="I13" i="20" s="1"/>
  <c r="I12" i="20" s="1"/>
  <c r="K14" i="20"/>
  <c r="K13" i="20" s="1"/>
  <c r="K12" i="20" s="1"/>
  <c r="L14" i="20"/>
  <c r="L13" i="20" s="1"/>
  <c r="L12" i="20" s="1"/>
  <c r="M14" i="20"/>
  <c r="M13" i="20" s="1"/>
  <c r="M12" i="20" s="1"/>
  <c r="S14" i="20"/>
  <c r="T14" i="20"/>
  <c r="U14" i="20"/>
  <c r="G16" i="20"/>
  <c r="I16" i="20"/>
  <c r="K16" i="20"/>
  <c r="L16" i="20"/>
  <c r="M16" i="20"/>
  <c r="S16" i="20"/>
  <c r="T16" i="20"/>
  <c r="U16" i="20"/>
  <c r="O69" i="20"/>
  <c r="A3" i="2"/>
  <c r="A3" i="24" s="1"/>
  <c r="A3" i="25" s="1"/>
  <c r="A3" i="1"/>
  <c r="A3" i="17"/>
  <c r="W60" i="20"/>
  <c r="W58" i="20"/>
  <c r="S44" i="20"/>
  <c r="W44" i="20"/>
  <c r="S43" i="20"/>
  <c r="W43" i="20"/>
  <c r="S42" i="20"/>
  <c r="W42" i="20"/>
  <c r="S41" i="20"/>
  <c r="W41" i="20"/>
  <c r="S40" i="20"/>
  <c r="W40" i="20"/>
  <c r="S39" i="20"/>
  <c r="W39" i="20"/>
  <c r="F38" i="20"/>
  <c r="G38" i="20"/>
  <c r="I38" i="20"/>
  <c r="J38" i="20"/>
  <c r="K38" i="20"/>
  <c r="L38" i="20"/>
  <c r="M38" i="20"/>
  <c r="O38" i="20"/>
  <c r="P38" i="20"/>
  <c r="Q38" i="20"/>
  <c r="R38" i="20"/>
  <c r="S38" i="20"/>
  <c r="T38" i="20"/>
  <c r="U38" i="20"/>
  <c r="W38" i="20"/>
  <c r="E38" i="20"/>
  <c r="S37" i="20"/>
  <c r="W37" i="20"/>
  <c r="S36" i="20"/>
  <c r="S35" i="20"/>
  <c r="W35" i="20"/>
  <c r="S34" i="20"/>
  <c r="W34" i="20"/>
  <c r="S33" i="20"/>
  <c r="W33" i="20"/>
  <c r="S32" i="20"/>
  <c r="S31" i="20"/>
  <c r="S30" i="20"/>
  <c r="S29" i="20"/>
  <c r="W29" i="20"/>
  <c r="S28" i="20"/>
  <c r="S27" i="20"/>
  <c r="P26" i="20"/>
  <c r="Q26" i="20"/>
  <c r="R26" i="20"/>
  <c r="S26" i="20"/>
  <c r="T26" i="20"/>
  <c r="U26" i="20"/>
  <c r="W26" i="20"/>
  <c r="S25" i="20"/>
  <c r="W25" i="20"/>
  <c r="S24" i="20"/>
  <c r="W24" i="20"/>
  <c r="S23" i="20"/>
  <c r="W23" i="20"/>
  <c r="AA16" i="20"/>
  <c r="J16" i="20"/>
  <c r="W16" i="20"/>
  <c r="W14" i="20"/>
  <c r="Z29" i="20"/>
  <c r="Z28" i="20"/>
  <c r="Z27" i="20"/>
  <c r="Z25" i="20"/>
  <c r="Z24" i="20"/>
  <c r="Z23" i="20"/>
  <c r="Z20" i="20"/>
  <c r="Z18" i="20"/>
  <c r="Z17" i="20"/>
  <c r="Z16" i="20"/>
  <c r="Z14" i="20"/>
  <c r="Z12" i="20"/>
  <c r="N15" i="1"/>
  <c r="N16" i="1"/>
  <c r="N23" i="1"/>
  <c r="N20" i="1" s="1"/>
  <c r="N33" i="1"/>
  <c r="N34" i="1"/>
  <c r="N35" i="1"/>
  <c r="N48" i="1"/>
  <c r="N53" i="1"/>
  <c r="N51" i="1" s="1"/>
  <c r="N62" i="1"/>
  <c r="N61" i="1" s="1"/>
  <c r="N65" i="1"/>
  <c r="N64" i="1" s="1"/>
  <c r="N84" i="1"/>
  <c r="N83" i="1" s="1"/>
  <c r="N80" i="1" s="1"/>
  <c r="N98" i="1"/>
  <c r="N101" i="1"/>
  <c r="N100" i="1" s="1"/>
  <c r="H15" i="1"/>
  <c r="H16" i="1"/>
  <c r="H21" i="1"/>
  <c r="H23" i="1"/>
  <c r="H30" i="1"/>
  <c r="H33" i="1"/>
  <c r="H34" i="1"/>
  <c r="H35" i="1"/>
  <c r="H41" i="1"/>
  <c r="H39" i="1" s="1"/>
  <c r="H36" i="1" s="1"/>
  <c r="H47" i="1"/>
  <c r="H48" i="1"/>
  <c r="H53" i="1"/>
  <c r="H51" i="1" s="1"/>
  <c r="H62" i="1"/>
  <c r="H63" i="1"/>
  <c r="H65" i="1"/>
  <c r="H64" i="1" s="1"/>
  <c r="H72" i="1"/>
  <c r="H74" i="1"/>
  <c r="H84" i="1"/>
  <c r="H83" i="1" s="1"/>
  <c r="H80" i="1" s="1"/>
  <c r="H98" i="1"/>
  <c r="H97" i="1" s="1"/>
  <c r="H96" i="1" s="1"/>
  <c r="H101" i="1"/>
  <c r="H100" i="1" s="1"/>
  <c r="H105" i="1"/>
  <c r="H115" i="1"/>
  <c r="H126" i="1"/>
  <c r="H127" i="1"/>
  <c r="H14" i="1"/>
  <c r="O46" i="2"/>
  <c r="O59" i="2"/>
  <c r="V98" i="1" l="1"/>
  <c r="V97" i="1" s="1"/>
  <c r="V96" i="1" s="1"/>
  <c r="V38" i="20" s="1"/>
  <c r="N97" i="1"/>
  <c r="N96" i="1" s="1"/>
  <c r="N38" i="20" s="1"/>
  <c r="V46" i="2"/>
  <c r="V45" i="2" s="1"/>
  <c r="O45" i="2"/>
  <c r="V59" i="2"/>
  <c r="V58" i="2" s="1"/>
  <c r="O58" i="2"/>
  <c r="O60" i="20" s="1"/>
  <c r="V20" i="2"/>
  <c r="A2" i="33"/>
  <c r="V69" i="20"/>
  <c r="H71" i="1"/>
  <c r="H66" i="1" s="1"/>
  <c r="H38" i="20"/>
  <c r="M45" i="20"/>
  <c r="K45" i="20"/>
  <c r="I45" i="20"/>
  <c r="G45" i="20"/>
  <c r="H125" i="1"/>
  <c r="H119" i="1" s="1"/>
  <c r="H20" i="1"/>
  <c r="H61" i="1"/>
  <c r="H60" i="1" s="1"/>
  <c r="T13" i="20"/>
  <c r="T12" i="20" s="1"/>
  <c r="U13" i="20"/>
  <c r="U12" i="20" s="1"/>
  <c r="S13" i="20"/>
  <c r="S12" i="20" s="1"/>
  <c r="S22" i="20"/>
  <c r="S45" i="20"/>
  <c r="L45" i="20"/>
  <c r="J45" i="20"/>
  <c r="H45" i="20"/>
  <c r="N60" i="1"/>
  <c r="Y16" i="20"/>
  <c r="J14" i="20"/>
  <c r="J13" i="20" s="1"/>
  <c r="J12" i="20" s="1"/>
  <c r="AA14" i="20"/>
  <c r="U45" i="20"/>
  <c r="V14" i="17"/>
  <c r="V13" i="17"/>
  <c r="O57" i="20" l="1"/>
  <c r="O12" i="2"/>
  <c r="V19" i="2"/>
  <c r="S21" i="20"/>
  <c r="S11" i="20" s="1"/>
  <c r="O17" i="20"/>
  <c r="Y14" i="20"/>
  <c r="V47" i="20" l="1"/>
  <c r="V12" i="2"/>
  <c r="V46" i="20"/>
  <c r="V16" i="20"/>
  <c r="W12" i="17"/>
  <c r="W13" i="17"/>
  <c r="W14" i="17"/>
  <c r="W15" i="17"/>
  <c r="W16" i="17"/>
  <c r="W17" i="17"/>
  <c r="W18" i="17"/>
  <c r="W19" i="17"/>
  <c r="W22" i="17"/>
  <c r="V14" i="20" l="1"/>
  <c r="V13" i="20" s="1"/>
  <c r="V12" i="20" s="1"/>
  <c r="O14" i="20"/>
  <c r="O13" i="20" s="1"/>
  <c r="O12" i="20" s="1"/>
  <c r="V117" i="1"/>
  <c r="V116" i="1" s="1"/>
  <c r="U117" i="1"/>
  <c r="U116" i="1" s="1"/>
  <c r="T117" i="1"/>
  <c r="T116" i="1" s="1"/>
  <c r="R117" i="1"/>
  <c r="R116" i="1" s="1"/>
  <c r="Q117" i="1"/>
  <c r="Q116" i="1" s="1"/>
  <c r="P117" i="1"/>
  <c r="P116" i="1" s="1"/>
  <c r="M117" i="1"/>
  <c r="M116" i="1" s="1"/>
  <c r="L117" i="1"/>
  <c r="L116" i="1" s="1"/>
  <c r="K117" i="1"/>
  <c r="K116" i="1" s="1"/>
  <c r="J117" i="1"/>
  <c r="J116" i="1" s="1"/>
  <c r="I117" i="1"/>
  <c r="I116" i="1" s="1"/>
  <c r="G117" i="1"/>
  <c r="G116" i="1" s="1"/>
  <c r="F117" i="1"/>
  <c r="E116" i="1"/>
  <c r="O115" i="1"/>
  <c r="U114" i="1"/>
  <c r="U111" i="1" s="1"/>
  <c r="T114" i="1"/>
  <c r="T111" i="1" s="1"/>
  <c r="R114" i="1"/>
  <c r="R111" i="1" s="1"/>
  <c r="Q114" i="1"/>
  <c r="Q111" i="1" s="1"/>
  <c r="P114" i="1"/>
  <c r="P111" i="1" s="1"/>
  <c r="O114" i="1"/>
  <c r="O111" i="1" s="1"/>
  <c r="M114" i="1"/>
  <c r="M111" i="1" s="1"/>
  <c r="L114" i="1"/>
  <c r="L111" i="1" s="1"/>
  <c r="K114" i="1"/>
  <c r="K111" i="1" s="1"/>
  <c r="J114" i="1"/>
  <c r="J111" i="1" s="1"/>
  <c r="I114" i="1"/>
  <c r="I111" i="1" s="1"/>
  <c r="G114" i="1"/>
  <c r="G111" i="1" s="1"/>
  <c r="F114" i="1"/>
  <c r="E114" i="1"/>
  <c r="E111" i="1" s="1"/>
  <c r="X23" i="1"/>
  <c r="X117" i="1" l="1"/>
  <c r="F116" i="1"/>
  <c r="X114" i="1"/>
  <c r="F111" i="1"/>
  <c r="E43" i="20"/>
  <c r="J43" i="20"/>
  <c r="O43" i="20"/>
  <c r="T43" i="20"/>
  <c r="E44" i="20"/>
  <c r="J44" i="20"/>
  <c r="P44" i="20"/>
  <c r="U44" i="20"/>
  <c r="K43" i="20"/>
  <c r="P43" i="20"/>
  <c r="U43" i="20"/>
  <c r="K44" i="20"/>
  <c r="Q44" i="20"/>
  <c r="V44" i="20"/>
  <c r="L43" i="20"/>
  <c r="Q43" i="20"/>
  <c r="L44" i="20"/>
  <c r="M43" i="20"/>
  <c r="T44" i="20"/>
  <c r="M44" i="20"/>
  <c r="H114" i="1"/>
  <c r="H111" i="1" s="1"/>
  <c r="N117" i="1"/>
  <c r="N116" i="1" s="1"/>
  <c r="N114" i="1"/>
  <c r="N111" i="1" s="1"/>
  <c r="H117" i="1"/>
  <c r="H116" i="1" s="1"/>
  <c r="V115" i="1"/>
  <c r="V114" i="1" s="1"/>
  <c r="V111" i="1" s="1"/>
  <c r="O117" i="1"/>
  <c r="O116" i="1" s="1"/>
  <c r="V23" i="1"/>
  <c r="V43" i="20" l="1"/>
  <c r="O44" i="20"/>
  <c r="G44" i="20"/>
  <c r="R43" i="20"/>
  <c r="R44" i="20"/>
  <c r="X111" i="1"/>
  <c r="F43" i="20"/>
  <c r="I44" i="20"/>
  <c r="G43" i="20"/>
  <c r="I43" i="20"/>
  <c r="X116" i="1"/>
  <c r="F44" i="20"/>
  <c r="H43" i="20" l="1"/>
  <c r="H44" i="20"/>
  <c r="N43" i="20"/>
  <c r="N44" i="20"/>
  <c r="Y20" i="20"/>
  <c r="Y18" i="20"/>
  <c r="AA17" i="20"/>
  <c r="Y17" i="20" l="1"/>
  <c r="Y12" i="20"/>
  <c r="Y22" i="17" l="1"/>
  <c r="X22" i="17"/>
  <c r="Y19" i="17"/>
  <c r="X19" i="17"/>
  <c r="Y18" i="17"/>
  <c r="X18" i="17"/>
  <c r="Y17" i="17"/>
  <c r="X17" i="17"/>
  <c r="Y16" i="17"/>
  <c r="X16" i="17"/>
  <c r="Y15" i="17"/>
  <c r="X15" i="17"/>
  <c r="Y14" i="17"/>
  <c r="X14" i="17"/>
  <c r="W23" i="17"/>
  <c r="Y13" i="17"/>
  <c r="X13" i="17"/>
  <c r="E58" i="2"/>
  <c r="E60" i="20" s="1"/>
  <c r="E45" i="2"/>
  <c r="F42" i="20"/>
  <c r="J42" i="20"/>
  <c r="K42" i="20"/>
  <c r="L42" i="20"/>
  <c r="M42" i="20"/>
  <c r="P42" i="20"/>
  <c r="Q42" i="20"/>
  <c r="T42" i="20"/>
  <c r="U42" i="20"/>
  <c r="E42" i="20"/>
  <c r="F41" i="20"/>
  <c r="J41" i="20"/>
  <c r="K41" i="20"/>
  <c r="L41" i="20"/>
  <c r="M41" i="20"/>
  <c r="P41" i="20"/>
  <c r="Q41" i="20"/>
  <c r="T41" i="20"/>
  <c r="U41" i="20"/>
  <c r="E125" i="1"/>
  <c r="E119" i="1" s="1"/>
  <c r="F104" i="1"/>
  <c r="F103" i="1" s="1"/>
  <c r="G104" i="1"/>
  <c r="G103" i="1" s="1"/>
  <c r="I104" i="1"/>
  <c r="I103" i="1" s="1"/>
  <c r="J104" i="1"/>
  <c r="J103" i="1" s="1"/>
  <c r="L104" i="1"/>
  <c r="L103" i="1" s="1"/>
  <c r="M104" i="1"/>
  <c r="M103" i="1" s="1"/>
  <c r="P104" i="1"/>
  <c r="P103" i="1" s="1"/>
  <c r="Q104" i="1"/>
  <c r="Q103" i="1" s="1"/>
  <c r="R104" i="1"/>
  <c r="R103" i="1" s="1"/>
  <c r="T104" i="1"/>
  <c r="T103" i="1" s="1"/>
  <c r="U104" i="1"/>
  <c r="U103" i="1" s="1"/>
  <c r="E104" i="1"/>
  <c r="E103" i="1" s="1"/>
  <c r="F99" i="1"/>
  <c r="J99" i="1"/>
  <c r="K99" i="1"/>
  <c r="L99" i="1"/>
  <c r="M99" i="1"/>
  <c r="P99" i="1"/>
  <c r="Q99" i="1"/>
  <c r="T99" i="1"/>
  <c r="U99" i="1"/>
  <c r="E99" i="1"/>
  <c r="F94" i="1"/>
  <c r="F91" i="1" s="1"/>
  <c r="G94" i="1"/>
  <c r="G91" i="1" s="1"/>
  <c r="I94" i="1"/>
  <c r="I91" i="1" s="1"/>
  <c r="J94" i="1"/>
  <c r="J91" i="1" s="1"/>
  <c r="K94" i="1"/>
  <c r="K91" i="1" s="1"/>
  <c r="L94" i="1"/>
  <c r="L91" i="1" s="1"/>
  <c r="M94" i="1"/>
  <c r="M91" i="1" s="1"/>
  <c r="P94" i="1"/>
  <c r="P91" i="1" s="1"/>
  <c r="Q94" i="1"/>
  <c r="Q91" i="1" s="1"/>
  <c r="R94" i="1"/>
  <c r="R91" i="1" s="1"/>
  <c r="T94" i="1"/>
  <c r="T91" i="1" s="1"/>
  <c r="U94" i="1"/>
  <c r="U91" i="1" s="1"/>
  <c r="E94" i="1"/>
  <c r="E91" i="1" s="1"/>
  <c r="F75" i="1"/>
  <c r="J75" i="1"/>
  <c r="K75" i="1"/>
  <c r="L75" i="1"/>
  <c r="M75" i="1"/>
  <c r="P75" i="1"/>
  <c r="Q75" i="1"/>
  <c r="T75" i="1"/>
  <c r="U75" i="1"/>
  <c r="E75" i="1"/>
  <c r="F32" i="20"/>
  <c r="J32" i="20"/>
  <c r="K32" i="20"/>
  <c r="L32" i="20"/>
  <c r="M32" i="20"/>
  <c r="P32" i="20"/>
  <c r="Q32" i="20"/>
  <c r="R32" i="20"/>
  <c r="T32" i="20"/>
  <c r="U32" i="20"/>
  <c r="E32" i="20"/>
  <c r="F31" i="20"/>
  <c r="J31" i="20"/>
  <c r="K31" i="20"/>
  <c r="L31" i="20"/>
  <c r="M31" i="20"/>
  <c r="P31" i="20"/>
  <c r="Q31" i="20"/>
  <c r="T31" i="20"/>
  <c r="U31" i="20"/>
  <c r="E31" i="20"/>
  <c r="F50" i="1"/>
  <c r="J50" i="1"/>
  <c r="K50" i="1"/>
  <c r="L50" i="1"/>
  <c r="M50" i="1"/>
  <c r="P50" i="1"/>
  <c r="Q50" i="1"/>
  <c r="T50" i="1"/>
  <c r="U50" i="1"/>
  <c r="E50" i="1"/>
  <c r="F46" i="1"/>
  <c r="G46" i="1"/>
  <c r="I46" i="1"/>
  <c r="J46" i="1"/>
  <c r="K46" i="1"/>
  <c r="L46" i="1"/>
  <c r="M46" i="1"/>
  <c r="P46" i="1"/>
  <c r="Q46" i="1"/>
  <c r="R46" i="1"/>
  <c r="T46" i="1"/>
  <c r="U46" i="1"/>
  <c r="E46" i="1"/>
  <c r="E45" i="1" s="1"/>
  <c r="F43" i="1"/>
  <c r="F42" i="1" s="1"/>
  <c r="G43" i="1"/>
  <c r="I43" i="1"/>
  <c r="J43" i="1"/>
  <c r="J42" i="1" s="1"/>
  <c r="K43" i="1"/>
  <c r="K42" i="1" s="1"/>
  <c r="L43" i="1"/>
  <c r="L42" i="1" s="1"/>
  <c r="M43" i="1"/>
  <c r="M42" i="1" s="1"/>
  <c r="P43" i="1"/>
  <c r="P42" i="1" s="1"/>
  <c r="Q43" i="1"/>
  <c r="Q42" i="1" s="1"/>
  <c r="R43" i="1"/>
  <c r="T43" i="1"/>
  <c r="T42" i="1" s="1"/>
  <c r="U43" i="1"/>
  <c r="U42" i="1" s="1"/>
  <c r="E43" i="1"/>
  <c r="E42" i="1" s="1"/>
  <c r="F29" i="1"/>
  <c r="F26" i="1" s="1"/>
  <c r="G29" i="1"/>
  <c r="G26" i="1" s="1"/>
  <c r="I29" i="1"/>
  <c r="I26" i="1" s="1"/>
  <c r="J29" i="1"/>
  <c r="J26" i="1" s="1"/>
  <c r="K29" i="1"/>
  <c r="K26" i="1" s="1"/>
  <c r="L29" i="1"/>
  <c r="L26" i="1" s="1"/>
  <c r="M29" i="1"/>
  <c r="M26" i="1" s="1"/>
  <c r="P29" i="1"/>
  <c r="P26" i="1" s="1"/>
  <c r="Q29" i="1"/>
  <c r="Q26" i="1" s="1"/>
  <c r="R29" i="1"/>
  <c r="R26" i="1" s="1"/>
  <c r="T29" i="1"/>
  <c r="T26" i="1" s="1"/>
  <c r="U29" i="1"/>
  <c r="U26" i="1" s="1"/>
  <c r="E29" i="1"/>
  <c r="E26" i="1" s="1"/>
  <c r="F13" i="1"/>
  <c r="G13" i="1"/>
  <c r="I13" i="1"/>
  <c r="J13" i="1"/>
  <c r="K13" i="1"/>
  <c r="L13" i="1"/>
  <c r="M13" i="1"/>
  <c r="P13" i="1"/>
  <c r="Q13" i="1"/>
  <c r="R13" i="1"/>
  <c r="T13" i="1"/>
  <c r="U13" i="1"/>
  <c r="E13" i="1"/>
  <c r="O14" i="1"/>
  <c r="O20" i="1"/>
  <c r="O29" i="1"/>
  <c r="O26" i="1" s="1"/>
  <c r="O31" i="1"/>
  <c r="O32" i="1"/>
  <c r="O33" i="1"/>
  <c r="V33" i="1" s="1"/>
  <c r="O34" i="1"/>
  <c r="V34" i="1" s="1"/>
  <c r="O35" i="1"/>
  <c r="V35" i="1" s="1"/>
  <c r="V43" i="1"/>
  <c r="O48" i="1"/>
  <c r="O53" i="1"/>
  <c r="O31" i="20"/>
  <c r="O62" i="1"/>
  <c r="O63" i="1"/>
  <c r="V63" i="1" s="1"/>
  <c r="O65" i="1"/>
  <c r="O64" i="1" s="1"/>
  <c r="O72" i="1"/>
  <c r="O74" i="1"/>
  <c r="O84" i="1"/>
  <c r="V94" i="1"/>
  <c r="V91" i="1" s="1"/>
  <c r="O101" i="1"/>
  <c r="O105" i="1"/>
  <c r="O106" i="1"/>
  <c r="V106" i="1" s="1"/>
  <c r="O126" i="1"/>
  <c r="O127" i="1"/>
  <c r="X106" i="1"/>
  <c r="E57" i="20" l="1"/>
  <c r="E12" i="2"/>
  <c r="O100" i="1"/>
  <c r="O99" i="1" s="1"/>
  <c r="O39" i="20" s="1"/>
  <c r="O51" i="1"/>
  <c r="O50" i="1" s="1"/>
  <c r="O30" i="20" s="1"/>
  <c r="O71" i="1"/>
  <c r="O66" i="1" s="1"/>
  <c r="O83" i="1"/>
  <c r="O25" i="20"/>
  <c r="L25" i="20"/>
  <c r="T27" i="20"/>
  <c r="M27" i="20"/>
  <c r="U28" i="20"/>
  <c r="P28" i="20"/>
  <c r="J28" i="20"/>
  <c r="T30" i="20"/>
  <c r="M30" i="20"/>
  <c r="E33" i="20"/>
  <c r="Q33" i="20"/>
  <c r="K33" i="20"/>
  <c r="F33" i="20"/>
  <c r="L34" i="20"/>
  <c r="T35" i="20"/>
  <c r="M35" i="20"/>
  <c r="U36" i="20"/>
  <c r="P36" i="20"/>
  <c r="J36" i="20"/>
  <c r="E37" i="20"/>
  <c r="Q37" i="20"/>
  <c r="K37" i="20"/>
  <c r="F37" i="20"/>
  <c r="L39" i="20"/>
  <c r="T40" i="20"/>
  <c r="M40" i="20"/>
  <c r="E25" i="20"/>
  <c r="Q25" i="20"/>
  <c r="K25" i="20"/>
  <c r="F25" i="20"/>
  <c r="AA25" i="20" s="1"/>
  <c r="L27" i="20"/>
  <c r="T28" i="20"/>
  <c r="M28" i="20"/>
  <c r="L30" i="20"/>
  <c r="U33" i="20"/>
  <c r="P33" i="20"/>
  <c r="J33" i="20"/>
  <c r="E34" i="20"/>
  <c r="Q34" i="20"/>
  <c r="K34" i="20"/>
  <c r="F34" i="20"/>
  <c r="L35" i="20"/>
  <c r="T36" i="20"/>
  <c r="M36" i="20"/>
  <c r="U37" i="20"/>
  <c r="P37" i="20"/>
  <c r="J37" i="20"/>
  <c r="E39" i="20"/>
  <c r="Q39" i="20"/>
  <c r="K39" i="20"/>
  <c r="F39" i="20"/>
  <c r="L40" i="20"/>
  <c r="F40" i="20"/>
  <c r="U25" i="20"/>
  <c r="P25" i="20"/>
  <c r="J25" i="20"/>
  <c r="E27" i="20"/>
  <c r="Q27" i="20"/>
  <c r="K27" i="20"/>
  <c r="F27" i="20"/>
  <c r="AA27" i="20" s="1"/>
  <c r="L28" i="20"/>
  <c r="E30" i="20"/>
  <c r="Q30" i="20"/>
  <c r="K30" i="20"/>
  <c r="F30" i="20"/>
  <c r="T33" i="20"/>
  <c r="M33" i="20"/>
  <c r="U34" i="20"/>
  <c r="P34" i="20"/>
  <c r="J34" i="20"/>
  <c r="E35" i="20"/>
  <c r="Q35" i="20"/>
  <c r="K35" i="20"/>
  <c r="F35" i="20"/>
  <c r="L36" i="20"/>
  <c r="T37" i="20"/>
  <c r="M37" i="20"/>
  <c r="U39" i="20"/>
  <c r="P39" i="20"/>
  <c r="J39" i="20"/>
  <c r="E40" i="20"/>
  <c r="Q40" i="20"/>
  <c r="J40" i="20"/>
  <c r="E41" i="20"/>
  <c r="T25" i="20"/>
  <c r="M25" i="20"/>
  <c r="U27" i="20"/>
  <c r="P27" i="20"/>
  <c r="J27" i="20"/>
  <c r="E28" i="20"/>
  <c r="Q28" i="20"/>
  <c r="K28" i="20"/>
  <c r="F28" i="20"/>
  <c r="AA28" i="20" s="1"/>
  <c r="U30" i="20"/>
  <c r="P30" i="20"/>
  <c r="J30" i="20"/>
  <c r="L33" i="20"/>
  <c r="T34" i="20"/>
  <c r="M34" i="20"/>
  <c r="U35" i="20"/>
  <c r="P35" i="20"/>
  <c r="J35" i="20"/>
  <c r="E36" i="20"/>
  <c r="Q36" i="20"/>
  <c r="K36" i="20"/>
  <c r="L37" i="20"/>
  <c r="T39" i="20"/>
  <c r="M39" i="20"/>
  <c r="U40" i="20"/>
  <c r="P40" i="20"/>
  <c r="F36" i="20"/>
  <c r="O26" i="20"/>
  <c r="V37" i="20"/>
  <c r="O36" i="20"/>
  <c r="O125" i="1"/>
  <c r="O119" i="1" s="1"/>
  <c r="R50" i="1"/>
  <c r="R75" i="1"/>
  <c r="R99" i="1"/>
  <c r="R42" i="1"/>
  <c r="U12" i="1"/>
  <c r="R12" i="1"/>
  <c r="P12" i="1"/>
  <c r="M45" i="1"/>
  <c r="K45" i="1"/>
  <c r="F45" i="1"/>
  <c r="E19" i="1"/>
  <c r="O61" i="1"/>
  <c r="O60" i="1" s="1"/>
  <c r="E45" i="20"/>
  <c r="G42" i="1"/>
  <c r="N43" i="1"/>
  <c r="I45" i="1"/>
  <c r="H46" i="1"/>
  <c r="I50" i="1"/>
  <c r="G31" i="20"/>
  <c r="I75" i="1"/>
  <c r="N94" i="1"/>
  <c r="N91" i="1" s="1"/>
  <c r="I99" i="1"/>
  <c r="G41" i="20"/>
  <c r="T19" i="1"/>
  <c r="Q19" i="1"/>
  <c r="H29" i="1"/>
  <c r="H26" i="1" s="1"/>
  <c r="I42" i="1"/>
  <c r="H43" i="1"/>
  <c r="N46" i="1"/>
  <c r="G50" i="1"/>
  <c r="G75" i="1"/>
  <c r="H94" i="1"/>
  <c r="H91" i="1" s="1"/>
  <c r="G99" i="1"/>
  <c r="T12" i="1"/>
  <c r="Q12" i="1"/>
  <c r="U19" i="1"/>
  <c r="R19" i="1"/>
  <c r="P19" i="1"/>
  <c r="J45" i="1"/>
  <c r="G45" i="1"/>
  <c r="U45" i="1"/>
  <c r="R45" i="1"/>
  <c r="P45" i="1"/>
  <c r="O94" i="1"/>
  <c r="O91" i="1" s="1"/>
  <c r="L12" i="1"/>
  <c r="F12" i="1"/>
  <c r="M19" i="1"/>
  <c r="K19" i="1"/>
  <c r="I19" i="1"/>
  <c r="G19" i="1"/>
  <c r="L19" i="1"/>
  <c r="O43" i="1"/>
  <c r="O42" i="1" s="1"/>
  <c r="T45" i="1"/>
  <c r="Q45" i="1"/>
  <c r="L45" i="1"/>
  <c r="V42" i="20"/>
  <c r="V126" i="1"/>
  <c r="V75" i="1"/>
  <c r="O75" i="1"/>
  <c r="V47" i="1"/>
  <c r="V46" i="1" s="1"/>
  <c r="O46" i="1"/>
  <c r="O45" i="1" s="1"/>
  <c r="V41" i="1"/>
  <c r="V39" i="1" s="1"/>
  <c r="V36" i="1" s="1"/>
  <c r="O104" i="1"/>
  <c r="O103" i="1" s="1"/>
  <c r="X23" i="17"/>
  <c r="Y23" i="17"/>
  <c r="O13" i="1"/>
  <c r="O12" i="1" s="1"/>
  <c r="M12" i="1"/>
  <c r="K12" i="1"/>
  <c r="I12" i="1"/>
  <c r="G12" i="1"/>
  <c r="E12" i="1"/>
  <c r="J12" i="1"/>
  <c r="J19" i="1"/>
  <c r="F19" i="1"/>
  <c r="O19" i="1"/>
  <c r="V30" i="1"/>
  <c r="V29" i="1" s="1"/>
  <c r="V26" i="1" s="1"/>
  <c r="V21" i="1"/>
  <c r="V20" i="1" s="1"/>
  <c r="E32" i="1"/>
  <c r="F32" i="1"/>
  <c r="X32" i="1" s="1"/>
  <c r="G32" i="1"/>
  <c r="I32" i="1"/>
  <c r="J32" i="1"/>
  <c r="K32" i="1"/>
  <c r="L32" i="1"/>
  <c r="M32" i="1"/>
  <c r="O80" i="1" l="1"/>
  <c r="O35" i="20" s="1"/>
  <c r="O41" i="20"/>
  <c r="J23" i="20"/>
  <c r="K23" i="20"/>
  <c r="L29" i="20"/>
  <c r="O28" i="20"/>
  <c r="K24" i="20"/>
  <c r="U29" i="20"/>
  <c r="G40" i="20"/>
  <c r="T24" i="20"/>
  <c r="F29" i="20"/>
  <c r="AA29" i="20" s="1"/>
  <c r="O24" i="20"/>
  <c r="E23" i="20"/>
  <c r="M23" i="20"/>
  <c r="Q29" i="20"/>
  <c r="L24" i="20"/>
  <c r="M24" i="20"/>
  <c r="U24" i="20"/>
  <c r="G25" i="20"/>
  <c r="K29" i="20"/>
  <c r="U23" i="20"/>
  <c r="F24" i="20"/>
  <c r="AA24" i="20" s="1"/>
  <c r="G23" i="20"/>
  <c r="O40" i="20"/>
  <c r="T29" i="20"/>
  <c r="G24" i="20"/>
  <c r="P29" i="20"/>
  <c r="J29" i="20"/>
  <c r="I40" i="20"/>
  <c r="G37" i="20"/>
  <c r="G35" i="20"/>
  <c r="G33" i="20"/>
  <c r="G28" i="20"/>
  <c r="M29" i="20"/>
  <c r="J24" i="20"/>
  <c r="I23" i="20"/>
  <c r="O27" i="20"/>
  <c r="E29" i="20"/>
  <c r="I24" i="20"/>
  <c r="L23" i="20"/>
  <c r="P24" i="20"/>
  <c r="T23" i="20"/>
  <c r="Q24" i="20"/>
  <c r="E24" i="20"/>
  <c r="P23" i="20"/>
  <c r="V25" i="20"/>
  <c r="R23" i="20"/>
  <c r="Q23" i="20"/>
  <c r="F23" i="20"/>
  <c r="AA23" i="20" s="1"/>
  <c r="O33" i="20"/>
  <c r="O29" i="20"/>
  <c r="O37" i="20"/>
  <c r="O23" i="20"/>
  <c r="O32" i="20"/>
  <c r="O34" i="20"/>
  <c r="V34" i="20"/>
  <c r="R24" i="20"/>
  <c r="R29" i="20"/>
  <c r="R41" i="20"/>
  <c r="R40" i="20"/>
  <c r="R37" i="20"/>
  <c r="R35" i="20"/>
  <c r="R33" i="20"/>
  <c r="R31" i="20"/>
  <c r="R28" i="20"/>
  <c r="R42" i="20"/>
  <c r="R39" i="20"/>
  <c r="R36" i="20"/>
  <c r="R34" i="20"/>
  <c r="R30" i="20"/>
  <c r="R27" i="20"/>
  <c r="R25" i="20"/>
  <c r="P22" i="20"/>
  <c r="N99" i="1"/>
  <c r="G39" i="20"/>
  <c r="I37" i="20"/>
  <c r="G36" i="20"/>
  <c r="I35" i="20"/>
  <c r="N75" i="1"/>
  <c r="G34" i="20"/>
  <c r="I33" i="20"/>
  <c r="H31" i="20"/>
  <c r="I31" i="20"/>
  <c r="N50" i="1"/>
  <c r="G30" i="20"/>
  <c r="H42" i="1"/>
  <c r="I28" i="20"/>
  <c r="G27" i="20"/>
  <c r="I25" i="20"/>
  <c r="H99" i="1"/>
  <c r="I39" i="20"/>
  <c r="I36" i="20"/>
  <c r="H75" i="1"/>
  <c r="I34" i="20"/>
  <c r="H50" i="1"/>
  <c r="I30" i="20"/>
  <c r="N45" i="1"/>
  <c r="G29" i="20"/>
  <c r="G42" i="20"/>
  <c r="H41" i="20"/>
  <c r="I41" i="20"/>
  <c r="H42" i="20"/>
  <c r="I42" i="20"/>
  <c r="H45" i="1"/>
  <c r="I29" i="20"/>
  <c r="I27" i="20"/>
  <c r="H14" i="20"/>
  <c r="H13" i="20" s="1"/>
  <c r="H12" i="20" s="1"/>
  <c r="H16" i="20"/>
  <c r="H32" i="20"/>
  <c r="I32" i="20"/>
  <c r="N32" i="20"/>
  <c r="G32" i="20"/>
  <c r="N32" i="1"/>
  <c r="H19" i="1"/>
  <c r="N42" i="1"/>
  <c r="N25" i="20"/>
  <c r="H32" i="1"/>
  <c r="T11" i="1"/>
  <c r="N19" i="1"/>
  <c r="P11" i="1"/>
  <c r="U11" i="1"/>
  <c r="Q11" i="1"/>
  <c r="F11" i="27" s="1"/>
  <c r="R11" i="1"/>
  <c r="D11" i="27" s="1"/>
  <c r="W11" i="17"/>
  <c r="K106" i="1"/>
  <c r="X105" i="1"/>
  <c r="C11" i="27" l="1"/>
  <c r="Q22" i="20"/>
  <c r="T22" i="20"/>
  <c r="U22" i="20"/>
  <c r="H30" i="20"/>
  <c r="H36" i="20"/>
  <c r="H25" i="20"/>
  <c r="H28" i="20"/>
  <c r="H27" i="20"/>
  <c r="H34" i="20"/>
  <c r="H39" i="20"/>
  <c r="H33" i="20"/>
  <c r="H35" i="20"/>
  <c r="H37" i="20"/>
  <c r="H24" i="20"/>
  <c r="H29" i="20"/>
  <c r="R22" i="20"/>
  <c r="N33" i="20"/>
  <c r="N37" i="20"/>
  <c r="N24" i="20"/>
  <c r="N28" i="20"/>
  <c r="V32" i="1"/>
  <c r="N31" i="20"/>
  <c r="N35" i="20"/>
  <c r="N41" i="20"/>
  <c r="N42" i="20"/>
  <c r="N29" i="20"/>
  <c r="N27" i="20"/>
  <c r="N30" i="20"/>
  <c r="N34" i="20"/>
  <c r="N36" i="20"/>
  <c r="N39" i="20"/>
  <c r="K104" i="1"/>
  <c r="K103" i="1" s="1"/>
  <c r="H106" i="1"/>
  <c r="V105" i="1"/>
  <c r="V104" i="1" s="1"/>
  <c r="V103" i="1" s="1"/>
  <c r="X12" i="17"/>
  <c r="X74" i="1"/>
  <c r="V74" i="1"/>
  <c r="X72" i="1"/>
  <c r="X53" i="1"/>
  <c r="X47" i="1"/>
  <c r="X21" i="1"/>
  <c r="X16" i="1"/>
  <c r="V16" i="1"/>
  <c r="V15" i="1"/>
  <c r="V65" i="1"/>
  <c r="V64" i="1" s="1"/>
  <c r="U21" i="20" l="1"/>
  <c r="U11" i="20" s="1"/>
  <c r="N104" i="1"/>
  <c r="N103" i="1" s="1"/>
  <c r="V40" i="20"/>
  <c r="H104" i="1"/>
  <c r="H103" i="1" s="1"/>
  <c r="V127" i="1"/>
  <c r="V31" i="20"/>
  <c r="V72" i="1"/>
  <c r="V101" i="1"/>
  <c r="V84" i="1"/>
  <c r="V62" i="1"/>
  <c r="V48" i="1"/>
  <c r="V53" i="1"/>
  <c r="V14" i="1"/>
  <c r="V13" i="1" s="1"/>
  <c r="V12" i="1" s="1"/>
  <c r="N13" i="1"/>
  <c r="N12" i="1" s="1"/>
  <c r="V19" i="1"/>
  <c r="V100" i="1" l="1"/>
  <c r="V99" i="1" s="1"/>
  <c r="V39" i="20" s="1"/>
  <c r="V51" i="1"/>
  <c r="V50" i="1" s="1"/>
  <c r="V30" i="20" s="1"/>
  <c r="V71" i="1"/>
  <c r="V83" i="1"/>
  <c r="V45" i="1"/>
  <c r="V29" i="20" s="1"/>
  <c r="K40" i="20"/>
  <c r="H40" i="20"/>
  <c r="V24" i="20"/>
  <c r="N23" i="20"/>
  <c r="Y23" i="20" s="1"/>
  <c r="V23" i="20"/>
  <c r="V36" i="20"/>
  <c r="V125" i="1"/>
  <c r="V119" i="1" s="1"/>
  <c r="V61" i="1"/>
  <c r="V60" i="1" s="1"/>
  <c r="X127" i="1"/>
  <c r="V80" i="1" l="1"/>
  <c r="V35" i="20" s="1"/>
  <c r="V66" i="1"/>
  <c r="V33" i="20" s="1"/>
  <c r="N40" i="20"/>
  <c r="V41" i="20"/>
  <c r="V32" i="20"/>
  <c r="X63" i="1"/>
  <c r="Y13" i="1" l="1"/>
  <c r="K31" i="1"/>
  <c r="M31" i="1"/>
  <c r="F31" i="1"/>
  <c r="I31" i="1"/>
  <c r="I26" i="20" l="1"/>
  <c r="I22" i="20" s="1"/>
  <c r="F11" i="1"/>
  <c r="F26" i="20"/>
  <c r="F22" i="20" s="1"/>
  <c r="K11" i="1"/>
  <c r="K26" i="20"/>
  <c r="K22" i="20" s="1"/>
  <c r="M11" i="1"/>
  <c r="M26" i="20"/>
  <c r="M22" i="20" s="1"/>
  <c r="I11" i="1"/>
  <c r="L31" i="1"/>
  <c r="J31" i="1"/>
  <c r="G31" i="1"/>
  <c r="M21" i="20" l="1"/>
  <c r="M11" i="20" s="1"/>
  <c r="K21" i="20"/>
  <c r="K11" i="20" s="1"/>
  <c r="I21" i="20"/>
  <c r="I11" i="20" s="1"/>
  <c r="G26" i="20"/>
  <c r="G22" i="20" s="1"/>
  <c r="J11" i="1"/>
  <c r="J26" i="20"/>
  <c r="J22" i="20" s="1"/>
  <c r="L11" i="1"/>
  <c r="L26" i="20"/>
  <c r="L22" i="20" s="1"/>
  <c r="G11" i="1"/>
  <c r="N31" i="1"/>
  <c r="H31" i="1"/>
  <c r="V42" i="1"/>
  <c r="G21" i="20" l="1"/>
  <c r="G11" i="20" s="1"/>
  <c r="J21" i="20"/>
  <c r="J11" i="20" s="1"/>
  <c r="L21" i="20"/>
  <c r="L11" i="20" s="1"/>
  <c r="H26" i="20"/>
  <c r="V28" i="20"/>
  <c r="V27" i="20"/>
  <c r="N11" i="1"/>
  <c r="N26" i="20"/>
  <c r="N22" i="20" s="1"/>
  <c r="V31" i="1"/>
  <c r="V11" i="1" l="1"/>
  <c r="V26" i="20"/>
  <c r="V22" i="20" s="1"/>
  <c r="Y22" i="20"/>
  <c r="E31" i="1"/>
  <c r="E11" i="1" l="1"/>
  <c r="E26" i="20"/>
  <c r="E22" i="20" s="1"/>
  <c r="W61" i="1"/>
  <c r="W60" i="1"/>
  <c r="W51" i="1"/>
  <c r="X101" i="1"/>
  <c r="E21" i="20" l="1"/>
  <c r="E11" i="20" s="1"/>
  <c r="W32" i="20"/>
  <c r="X65" i="1" l="1"/>
  <c r="X126" i="1" l="1"/>
  <c r="X30" i="1" l="1"/>
  <c r="X41" i="1"/>
  <c r="X62" i="1"/>
  <c r="X84" i="1"/>
  <c r="H13" i="1" l="1"/>
  <c r="H12" i="1" l="1"/>
  <c r="X104" i="1"/>
  <c r="W104" i="1"/>
  <c r="H23" i="20" l="1"/>
  <c r="H22" i="20" s="1"/>
  <c r="X94" i="1"/>
  <c r="H21" i="20" l="1"/>
  <c r="H11" i="20" s="1"/>
  <c r="X61" i="1"/>
  <c r="X46" i="1"/>
  <c r="X89" i="1" l="1"/>
  <c r="X76" i="1"/>
  <c r="X71" i="1"/>
  <c r="X43" i="1"/>
  <c r="N45" i="20" l="1"/>
  <c r="N21" i="20" s="1"/>
  <c r="N11" i="20" s="1"/>
  <c r="X125" i="1"/>
  <c r="X100" i="1"/>
  <c r="V60" i="20" l="1"/>
  <c r="V45" i="20" s="1"/>
  <c r="V21" i="20" s="1"/>
  <c r="V11" i="20" s="1"/>
  <c r="X103" i="1"/>
  <c r="X75" i="1"/>
  <c r="X96" i="1"/>
  <c r="X86" i="1"/>
  <c r="X66" i="1"/>
  <c r="X42" i="1"/>
  <c r="X51" i="1"/>
  <c r="X99" i="1" l="1"/>
  <c r="X119" i="1"/>
  <c r="X50" i="1" l="1"/>
  <c r="X54" i="1"/>
  <c r="X29" i="1" l="1"/>
  <c r="X24" i="1"/>
  <c r="X20" i="1"/>
  <c r="X39" i="1" l="1"/>
  <c r="X36" i="1" l="1"/>
  <c r="X19" i="1"/>
  <c r="X26" i="1"/>
  <c r="X83" i="1"/>
  <c r="X80" i="1" l="1"/>
  <c r="X60" i="1" l="1"/>
  <c r="X128" i="1" l="1"/>
  <c r="P45" i="20" l="1"/>
  <c r="W36" i="1"/>
  <c r="W50" i="1"/>
  <c r="W31" i="20"/>
  <c r="P21" i="20" l="1"/>
  <c r="P11" i="20" s="1"/>
  <c r="E12" i="27"/>
  <c r="E6" i="27" s="1"/>
  <c r="T45" i="20"/>
  <c r="R45" i="20"/>
  <c r="W30" i="20"/>
  <c r="W27" i="20"/>
  <c r="Q45" i="20"/>
  <c r="H11" i="1"/>
  <c r="X91" i="1"/>
  <c r="X45" i="1"/>
  <c r="X31" i="1"/>
  <c r="F45" i="20"/>
  <c r="F21" i="20" s="1"/>
  <c r="F11" i="20" s="1"/>
  <c r="Q21" i="20" l="1"/>
  <c r="Q11" i="20" s="1"/>
  <c r="F12" i="27"/>
  <c r="F6" i="27" s="1"/>
  <c r="R21" i="20"/>
  <c r="R11" i="20" s="1"/>
  <c r="D12" i="27"/>
  <c r="D6" i="27" s="1"/>
  <c r="T21" i="20"/>
  <c r="T11" i="20" s="1"/>
  <c r="Y11" i="20"/>
  <c r="Y21" i="20"/>
  <c r="O45" i="20"/>
  <c r="X17" i="20" l="1"/>
  <c r="X19" i="20"/>
  <c r="X21" i="20" s="1"/>
  <c r="X12" i="20"/>
  <c r="X14" i="20"/>
  <c r="X16" i="20" s="1"/>
  <c r="C12" i="27"/>
  <c r="C6" i="27" s="1"/>
  <c r="O11" i="1"/>
  <c r="O42" i="20"/>
  <c r="O22" i="20" s="1"/>
  <c r="X11" i="20" l="1"/>
  <c r="Z11" i="20"/>
  <c r="O21" i="20"/>
  <c r="O11" i="20" s="1"/>
</calcChain>
</file>

<file path=xl/sharedStrings.xml><?xml version="1.0" encoding="utf-8"?>
<sst xmlns="http://schemas.openxmlformats.org/spreadsheetml/2006/main" count="1270" uniqueCount="635">
  <si>
    <t>Việt Ngọc</t>
  </si>
  <si>
    <t>Việt Lập</t>
  </si>
  <si>
    <t>Việt lập</t>
  </si>
  <si>
    <t>TT Nhã Nam</t>
  </si>
  <si>
    <t>TT Cao Thượng</t>
  </si>
  <si>
    <t>Tân Trung</t>
  </si>
  <si>
    <t>Song Vân</t>
  </si>
  <si>
    <t>Quế Nham</t>
  </si>
  <si>
    <t>Quang Tiến</t>
  </si>
  <si>
    <t>Phúc Sơn</t>
  </si>
  <si>
    <t>Phúc Hòa</t>
  </si>
  <si>
    <t>Ngọc Vân</t>
  </si>
  <si>
    <t>Ngọc Thiện</t>
  </si>
  <si>
    <t>Ngọc Lý</t>
  </si>
  <si>
    <t>Ngọc Châu</t>
  </si>
  <si>
    <t>Liên Sơn</t>
  </si>
  <si>
    <t>Liên Chung</t>
  </si>
  <si>
    <t>Lan Giới</t>
  </si>
  <si>
    <t>Lam Cốt</t>
  </si>
  <si>
    <t>Hợp Đức</t>
  </si>
  <si>
    <t>Đại Hóa</t>
  </si>
  <si>
    <t>Cao Xá</t>
  </si>
  <si>
    <t>An Dương</t>
  </si>
  <si>
    <t>CÔNG TRÌNH CẤP XÃ</t>
  </si>
  <si>
    <t>Nguồn 
khác và huy động XHH</t>
  </si>
  <si>
    <t xml:space="preserve">Ngân sách 
xã
</t>
  </si>
  <si>
    <t xml:space="preserve">Ngân sách
huyện
</t>
  </si>
  <si>
    <t>Ngân sách tỉnh</t>
  </si>
  <si>
    <t>Ngân sách
TW</t>
  </si>
  <si>
    <t>Tổng số
 (tất cả các
 nguồn vốn)</t>
  </si>
  <si>
    <t>Ghi chú</t>
  </si>
  <si>
    <t>TMĐT</t>
  </si>
  <si>
    <t>Số dự
 án</t>
  </si>
  <si>
    <t>Năm thực hiện</t>
  </si>
  <si>
    <t>Danh mục công trình</t>
  </si>
  <si>
    <t>STT</t>
  </si>
  <si>
    <t>Đơn vị: Triệu đồng</t>
  </si>
  <si>
    <t>Danh mục dự án</t>
  </si>
  <si>
    <t>Năm 
thực hiện</t>
  </si>
  <si>
    <t>Số dự án</t>
  </si>
  <si>
    <t>Trong đó</t>
  </si>
  <si>
    <t>TỔNG CỘNG</t>
  </si>
  <si>
    <t>Khu dân cư Đồi Mạ (giáp CCN)</t>
  </si>
  <si>
    <t>2022-2023</t>
  </si>
  <si>
    <t>Khu dân cư Đồng Túc, phố Bùng</t>
  </si>
  <si>
    <t>Khu dân cư thôn Trong Giữa (Đồng Tơ, Nghè Mẩy)</t>
  </si>
  <si>
    <t>Khu dân cư thôn An Lạc</t>
  </si>
  <si>
    <t>2023-2024</t>
  </si>
  <si>
    <t>Công trình chuyển tiếp</t>
  </si>
  <si>
    <t>Công trình xây mới</t>
  </si>
  <si>
    <t>Khu dân cư Chuôm Nho Bài</t>
  </si>
  <si>
    <t>Khu dân cư Đồng Sen</t>
  </si>
  <si>
    <t>Khu dân cư thôn Trong Giữa (Đồng Tơ, Nghè Mẩy)- gđ 2</t>
  </si>
  <si>
    <t>Đường từ Cầu Bỉ đi Kênh Núi Đài</t>
  </si>
  <si>
    <t>Xây mới Trụ sở làm việc Công an xã</t>
  </si>
  <si>
    <t>2022-
2023</t>
  </si>
  <si>
    <t>Nhà lớp học trường Mầm non An Dương</t>
  </si>
  <si>
    <t>Xây dựng Trụ sở làm việc Công an xã An Dương</t>
  </si>
  <si>
    <t xml:space="preserve">Công trình chuyển tiếp </t>
  </si>
  <si>
    <t>Xây dựng cầu ông Tọa thôn Dĩnh Miễu</t>
  </si>
  <si>
    <t>Trạm Y tế xã Cao Xá</t>
  </si>
  <si>
    <t>Quy mô
 (m2)</t>
  </si>
  <si>
    <t xml:space="preserve">Khu dân cư thôn Quất, xã Hợp Đức </t>
  </si>
  <si>
    <t>KHV đến 31/12/2022</t>
  </si>
  <si>
    <t>Cải tạo nâng cấp NTLS xã</t>
  </si>
  <si>
    <t>Xây dựng Trụ sở làm việc Công an xã Ngọc Lý</t>
  </si>
  <si>
    <t>Khu dân cư Thúy Cầu - Hội Phú - giai đoạn 2</t>
  </si>
  <si>
    <t>CÔNG TRÌNH NTM</t>
  </si>
  <si>
    <t>Danh mục chuyển tiếp</t>
  </si>
  <si>
    <t xml:space="preserve">Danh mục xây dựng mới </t>
  </si>
  <si>
    <t>Trung tâm Hội nghị huyện</t>
  </si>
  <si>
    <t>CÔNG TRÌNH CẤP HUYỆN</t>
  </si>
  <si>
    <t>Cải tạo nâng cấp Đường Cao xá, Lam Cốt</t>
  </si>
  <si>
    <t>Đường từ TL398b (đoạn Liên Chung) đi Thành phố Bắc Giang</t>
  </si>
  <si>
    <t>II</t>
  </si>
  <si>
    <t>III</t>
  </si>
  <si>
    <t>I</t>
  </si>
  <si>
    <t>QĐ đầu tư số 1980/QĐ-UBND ngày 30/9/2021</t>
  </si>
  <si>
    <t>QĐCTĐT số
 785/QĐ-UBND ngày 25/8/2021</t>
  </si>
  <si>
    <t>QĐ đầu tư số 3555/QĐ-UBND ngày 04/8/2021</t>
  </si>
  <si>
    <t>Đường HQV (đoạn từ BCH Quân sự huyện đi ĐT 295) huyện Tân Yên</t>
  </si>
  <si>
    <t>QĐ đầu tư số 9000/QĐ-UBND ngày 01/12/2021</t>
  </si>
  <si>
    <t>Đường từ CCN Đồng Đình, thị trấn Cao Thượng đi TL 298 (Trụ sở điện lực huyện Tân Yên)</t>
  </si>
  <si>
    <t>QĐ đầu tư số 2315/QĐ-UBND ngày 25/5/2022</t>
  </si>
  <si>
    <t>NQ phê duyệt
 CTĐT số 04/NQ-HĐND ngày 07/4/2022</t>
  </si>
  <si>
    <t>2022-2024</t>
  </si>
  <si>
    <t xml:space="preserve">Khu dân cư trung tâm xã (khu Đồng Sỏi, thôn Lục Liễu) xã Hợp Đức </t>
  </si>
  <si>
    <t>Dự án tạo quỹ đất sạch Khu dân cư Cầu Vồng, TT Cao Thượng, huyện Tân Yên</t>
  </si>
  <si>
    <t>2022-2025</t>
  </si>
  <si>
    <t>Nguồn khác</t>
  </si>
  <si>
    <t>Dự án XDCB</t>
  </si>
  <si>
    <t>Dự án hạ tầng đất</t>
  </si>
  <si>
    <t>B</t>
  </si>
  <si>
    <t xml:space="preserve"> Công trình XDCB</t>
  </si>
  <si>
    <t>Cao xá</t>
  </si>
  <si>
    <t xml:space="preserve"> Công trình XDNTM</t>
  </si>
  <si>
    <t>DANH MỤC HẠ TẦNG ĐẤT</t>
  </si>
  <si>
    <t>Đường liên xã từ QL 17 (đoạn gần thị trấn Nhã Nam) đi Phúc Sơn</t>
  </si>
  <si>
    <t>2023-2026</t>
  </si>
  <si>
    <t>Đường kênh chính từ Cầu Gỗ Ngọc Thiện đi Đồng Long</t>
  </si>
  <si>
    <t>IV</t>
  </si>
  <si>
    <t>V</t>
  </si>
  <si>
    <t>VI</t>
  </si>
  <si>
    <t>VII</t>
  </si>
  <si>
    <t>VIII</t>
  </si>
  <si>
    <t>IX</t>
  </si>
  <si>
    <t>X</t>
  </si>
  <si>
    <t>XI</t>
  </si>
  <si>
    <t>XII</t>
  </si>
  <si>
    <t>XIII</t>
  </si>
  <si>
    <t>XIV</t>
  </si>
  <si>
    <t>XV</t>
  </si>
  <si>
    <t>XVI</t>
  </si>
  <si>
    <t>XVII</t>
  </si>
  <si>
    <t>XVIII</t>
  </si>
  <si>
    <t>XIX</t>
  </si>
  <si>
    <t>XX</t>
  </si>
  <si>
    <t>XXII</t>
  </si>
  <si>
    <t>XXI</t>
  </si>
  <si>
    <t>NQ36</t>
  </si>
  <si>
    <t>CA xã</t>
  </si>
  <si>
    <t xml:space="preserve">CA xã </t>
  </si>
  <si>
    <t>Dự kiến Kế hoạch vốn năm 2023</t>
  </si>
  <si>
    <t>Số lô
 đất (lô)</t>
  </si>
  <si>
    <t>Dự kiến 
thời gian tổ chức đấu giá</t>
  </si>
  <si>
    <t>Khu thể thao huyện Tân Yên (giai đoạn 1)</t>
  </si>
  <si>
    <t>NQ  số 12/NQ-HĐND ngày 29/9/2022</t>
  </si>
  <si>
    <t>NQ số 12/NQ-HĐND ngày 29/9/2022</t>
  </si>
  <si>
    <t>Kênh tưới nội đồng thôn Chúc, thôn Ngò xã Đại Hóa</t>
  </si>
  <si>
    <t>Khu dân cư bờ Phơi, cửa Biếu thôn Đông Lai giai đoạn 2</t>
  </si>
  <si>
    <t>Khu dân cư Thiếm - Đình Giã (cạnh trường MN khu B)</t>
  </si>
  <si>
    <t>Khu dân cư Nguộn (cạnh cống Mắm)</t>
  </si>
  <si>
    <t>Tu sửa Đền Mẫu Núi Dành</t>
  </si>
  <si>
    <t>Chuẩn bị đầu tư</t>
  </si>
  <si>
    <t>chuẩn bị ĐT có vốn mới triển khai thực hiện</t>
  </si>
  <si>
    <t>Chỉnh trang HL vỉa hè đường QL17, xã Quế Nham, huyện Tân Yên</t>
  </si>
  <si>
    <t>Xây dựng nhà hiệu bộ, nhà đa năng và các hạng mục phụ trợ trường THCS Lam Cốt</t>
  </si>
  <si>
    <t>THỪA 3 TỶ</t>
  </si>
  <si>
    <t>giảm 3 tỷ</t>
  </si>
  <si>
    <t>Chuyển lên Xây mới 2023 theo ý kiến cử tri</t>
  </si>
  <si>
    <t>Khu dân cư Phú Thành</t>
  </si>
  <si>
    <t>Lũy kế KHV</t>
  </si>
  <si>
    <t>Khu dân cư thôn Quang Châu</t>
  </si>
  <si>
    <t>Dự án dân cư Vàng Mới (cạnh trường THCS TT Cao Thượng)</t>
  </si>
  <si>
    <t>Trường Tiểu học An Dương; HM: Nhà hiệu bộ, công trình phụ trợ</t>
  </si>
  <si>
    <t>Kế hoạch vốn năm 2024</t>
  </si>
  <si>
    <t>Tổng KHV</t>
  </si>
  <si>
    <t>NSTW</t>
  </si>
  <si>
    <t>NS tỉnh</t>
  </si>
  <si>
    <t>NS huyện</t>
  </si>
  <si>
    <t>NS xã</t>
  </si>
  <si>
    <t>Nguồn vốn khác, XHH</t>
  </si>
  <si>
    <t>Quyết định đầu tư</t>
  </si>
  <si>
    <t>Đường BTXM từ Cầu Sắt Bãi Đình đi Trạm Y tế xã An Dương</t>
  </si>
  <si>
    <t>Đường từ tỉnh lộ 295 đi tỉnh lộ 298</t>
  </si>
  <si>
    <t>số 26/QĐ-UBND ngày 07/3/2022</t>
  </si>
  <si>
    <t>htnnnt 2022</t>
  </si>
  <si>
    <t>số 455/QĐ-UBND ngày 24/11/2022</t>
  </si>
  <si>
    <t>Đường BTXM từ UBND xã Lan Giới đi An Thượng, Yên Thế</t>
  </si>
  <si>
    <t>GPMB, xây dựng nhà hiệu bộ và các công trình phụ trợ trường Tiểu học Liên Chung</t>
  </si>
  <si>
    <t>Xây tường bao khuôn viên, nhà để xe UBND xã</t>
  </si>
  <si>
    <t>Phụ trợ UBND xã, sân cổng tường rào, nhà để xe</t>
  </si>
  <si>
    <t>Tu bổ, tôn tạo di tích chùa Ngọc Nham, xã Ngọc Thiện, huyện Tân Yên</t>
  </si>
  <si>
    <t>Nhà lớp học 18 phòng trường Tiểu học Ngọc Vân</t>
  </si>
  <si>
    <t>Dự kiến Kế hoạch vốn năm 2024</t>
  </si>
  <si>
    <t>QĐ đầu tư</t>
  </si>
  <si>
    <t>Đường BTXM từ khu phố Mới đi NVH Phú Thọ</t>
  </si>
  <si>
    <t>Tu bổ Đình Yên Lý</t>
  </si>
  <si>
    <t>Xây dựng nhà hội trường thị trấn Cao Thượng</t>
  </si>
  <si>
    <t>Phụ trợ trường THCS TT Cao Thượng; HM: hạ tầng ngoài nhà, sân, cổng, tường rào và các hạng mục phụ trợ</t>
  </si>
  <si>
    <t>Phụ trợ trường THCS TT Cao Thượng; HM: Nhà đa năng, bể bơi, sân thể thao</t>
  </si>
  <si>
    <t>Trường MN Tân Trung, HM: Nhà lớp học 2 tầng, 6 phòng</t>
  </si>
  <si>
    <t>NQ 36</t>
  </si>
  <si>
    <t>KHV năm 2023</t>
  </si>
  <si>
    <t>Kế hoạch vốn năm 2023 
sau điều chỉnh bổ sung</t>
  </si>
  <si>
    <t>Tổng số</t>
  </si>
  <si>
    <t>NS 
TW</t>
  </si>
  <si>
    <t>NS
 tỉnh</t>
  </si>
  <si>
    <t>NS huyện (tiền đất)</t>
  </si>
  <si>
    <t>chuyển nguồn 2022 sang 2023</t>
  </si>
  <si>
    <t>Chỉnh trang hành lang vỉa hè Cụm CN Đồng Đình (giai đoạn 2) huyện Tân Yên</t>
  </si>
  <si>
    <t>NQ số 12/NQ-HĐND ngày 29/9/2022; NST hỗ trợ huyện NTM  nâng cao</t>
  </si>
  <si>
    <t>Tổng các nguồn vốn</t>
  </si>
  <si>
    <t>số 130/QĐ-UBND ngày 13/01/2023</t>
  </si>
  <si>
    <t>số 2852/QĐ-UBND ngày 26/5/2023</t>
  </si>
  <si>
    <t>Tổng 
KHV</t>
  </si>
  <si>
    <t>Dự án chuyển tiếp</t>
  </si>
  <si>
    <t xml:space="preserve">Dự án khởi công mới </t>
  </si>
  <si>
    <t>KHV còn thiếu</t>
  </si>
  <si>
    <t>khối lượng hoàn thành</t>
  </si>
  <si>
    <t>TW: 165,75 tỷ; NST: 3 tỷ; NSH: 61,25 tỷ</t>
  </si>
  <si>
    <t>số 2927/QĐ-UBND ngày 01/6/2023</t>
  </si>
  <si>
    <t>NST hỗ trợ huyện NTM  nâng cao: 20 tỷ, đã cấp 3,1 tỷ 2023</t>
  </si>
  <si>
    <t>Lũy kế phân bổ vốn</t>
  </si>
  <si>
    <t>-</t>
  </si>
  <si>
    <t>NS
 xã</t>
  </si>
  <si>
    <t>Nguồn huy động XHH</t>
  </si>
  <si>
    <t>Đơn vị tính: triệu đồng</t>
  </si>
  <si>
    <t>Biểu số 02</t>
  </si>
  <si>
    <t>Biểu số 04</t>
  </si>
  <si>
    <t>Biểu số 05</t>
  </si>
  <si>
    <t>Xây dựng hầm họp và CSHT khu căn cứ chiến đấu của huyện (ccchdd/huyện)</t>
  </si>
  <si>
    <t>Ghi chú: Đối các dự án có nguồn hỗ trợ từ ngân sách cấp trên, các xã chỉ triển khai thực hiện khi xác định được nguồn vốn đối ứng, sau khi đã hoàn thành xử lý nợ đọng XDCB. 
Các dự án, công trình cấp xã không được hỗ trợ từ ngân sách cấp trên (100% nguồn vốn NS xã) chỉ được triển khai thực hiện khi đã xử lý xong nợ đọng XDCB và cân đối được nguồn thu tiền sử dụng đất</t>
  </si>
  <si>
    <t>DỰ KIẾN DANH MỤC KHV ĐẦU TƯ CÔNG NĂM 2024 - CÔNG TRÌNH XDCB CẤP XÃ</t>
  </si>
  <si>
    <t>DỰ KIẾN DANH MỤC KHV ĐẦU TƯ CÔNG CÁC CÔNG TRÌNH NTM NĂM 2024</t>
  </si>
  <si>
    <t>DỰ KIẾN DANH MỤC - KHV ĐẦU TƯ CÔNG NĂM 2024 - CÔNG TRÌNH CẤP HUYỆN</t>
  </si>
  <si>
    <t>Biểu số 01</t>
  </si>
  <si>
    <t>TTPTQĐ&amp;QLTT
GTXDMT huyện</t>
  </si>
  <si>
    <t>UBND xã An Dương</t>
  </si>
  <si>
    <t>Ban QLDA ĐTXD huyện</t>
  </si>
  <si>
    <t>UBND xã Đại Hóa</t>
  </si>
  <si>
    <t>UBND xã Hợp Đức</t>
  </si>
  <si>
    <t>UBND xã Lam Cốt</t>
  </si>
  <si>
    <t>UBND xã Lan Giới</t>
  </si>
  <si>
    <t>UBND xã Liên Chung</t>
  </si>
  <si>
    <t>UBND xã Liên Sơn</t>
  </si>
  <si>
    <t>UBND xã Ngọc Châu</t>
  </si>
  <si>
    <t>UBND xã Ngọc Lý</t>
  </si>
  <si>
    <t>UBND xã Ngọc Thiện</t>
  </si>
  <si>
    <t>UBND xã Ngọc Vân</t>
  </si>
  <si>
    <t>UBND xã
 Phúc Hòa</t>
  </si>
  <si>
    <t>UBND xã Phúc Sơn</t>
  </si>
  <si>
    <t>UBND xã Quế Nham</t>
  </si>
  <si>
    <t>UBND xã Song Vân</t>
  </si>
  <si>
    <t>UBND xã 
Tân Trung</t>
  </si>
  <si>
    <t>UBND TT Cao Thượng</t>
  </si>
  <si>
    <t>UBND TT Nhã Nam</t>
  </si>
  <si>
    <t>UBND xã Việt Lập</t>
  </si>
  <si>
    <t>UBND xã Việt Ngọc</t>
  </si>
  <si>
    <t>Dự án xây mới</t>
  </si>
  <si>
    <t>TỔNG HỢP DỰ KIẾN KẾ HOẠCH VỐN ĐẦU TƯ CÔNG NĂM 2024</t>
  </si>
  <si>
    <t>KHV đến năm 2023</t>
  </si>
  <si>
    <t>Chỉ triển khai thực hiện khi có nguồn thu tiền sử dụng đất</t>
  </si>
  <si>
    <t>Lũy kế KHV đã phân bổ đến năm 2023</t>
  </si>
  <si>
    <t>Quy mô</t>
  </si>
  <si>
    <t>Kinh phí GPMB+XDCSHT</t>
  </si>
  <si>
    <t>Dự kiến số thu vào ngân sách</t>
  </si>
  <si>
    <t>Điều tiết NS huyện (70%)</t>
  </si>
  <si>
    <t>TTCT</t>
  </si>
  <si>
    <t>Cụm dân cư Đồi Ông Chương thôn Thúy Cầu</t>
  </si>
  <si>
    <t>Cụm dân cư thôn Đồi Rồng (gđ1)</t>
  </si>
  <si>
    <t>Tháng 10/2024</t>
  </si>
  <si>
    <t>Đang GPMB</t>
  </si>
  <si>
    <t>Tháng 9/2024</t>
  </si>
  <si>
    <t>Cụm dân cư thôn Cầu Cần</t>
  </si>
  <si>
    <t>KDC Văn Miếu (điều chỉnh, bổ sung gđ1)</t>
  </si>
  <si>
    <t>Tháng 2/2024</t>
  </si>
  <si>
    <t>Đã có QĐ CMĐ, điều chỉnh sơ đồ phân lô</t>
  </si>
  <si>
    <t>Cụm dân cư thôn Quyên</t>
  </si>
  <si>
    <t>Cụm dân cư Cửa ông Dục thôn Trấn Thành (gđ2)</t>
  </si>
  <si>
    <t>Cụm dân cư Ngã Ba Đình Nẻo thôn Chung</t>
  </si>
  <si>
    <t>Cụm dân cư Đồng Nghĩa Trang thôn Chung</t>
  </si>
  <si>
    <t>Cụm dân cư Đồng Dộc thôn Lý Cốt</t>
  </si>
  <si>
    <t>Cụm dân cư thôn Bỉ</t>
  </si>
  <si>
    <t>Đã GPMB, đang XD hạ tầng, đang hoàn thiện hồ sơ xin CMĐ</t>
  </si>
  <si>
    <t>Cụm dân cư Văn Chỉ TDP Bùi</t>
  </si>
  <si>
    <t>KDC Vàng Mới (Cạnh trường THCS)</t>
  </si>
  <si>
    <t>Cụm dân cư Chuôm Nho 1 (gđ1)</t>
  </si>
  <si>
    <t>Đã XD hạ tầng, đang hoàn thiện hồ sơ thu hồi, tuyên truyền vận động 7 hộ còn lại</t>
  </si>
  <si>
    <t>Tháng 12/2024</t>
  </si>
  <si>
    <t>KDC Lãn tranh 1,2 gđ2</t>
  </si>
  <si>
    <t>Đã chi trả tiền, đang làm hạ tầng và CMĐ</t>
  </si>
  <si>
    <t>Tháng 5/2024</t>
  </si>
  <si>
    <t>Đồng Xi, thôn Chúc, Đại Hóa</t>
  </si>
  <si>
    <t>KDC Cống gạch, Quang Lâm</t>
  </si>
  <si>
    <t>Đồng Cây Xừng, Quế Nham</t>
  </si>
  <si>
    <t xml:space="preserve">Cụm dân cư Trạm bơm thôn Ba Làng </t>
  </si>
  <si>
    <t xml:space="preserve">Cụm dân cư Sau UBND </t>
  </si>
  <si>
    <t>Cụm dân cư Đồng Bông, thôn Trại</t>
  </si>
  <si>
    <t>Tháng 01/2024</t>
  </si>
  <si>
    <t>Tháng 4/2024</t>
  </si>
  <si>
    <t>Không phải GPMB</t>
  </si>
  <si>
    <t>Đã có chủ trương đầu tư, đang GPMB</t>
  </si>
  <si>
    <t>Đang GPMB, còn 05 hộ chưa ký tờ khai, BB kiểm kê</t>
  </si>
  <si>
    <t>KDC Cạnh NVH thôn Me Điền</t>
  </si>
  <si>
    <t>Tháng 6/2024</t>
  </si>
  <si>
    <t>Đang lập chủ trương đầu tư</t>
  </si>
  <si>
    <t>Khu đô thị An Huy</t>
  </si>
  <si>
    <t>Nhà đầu tư, Nợ TSD đất</t>
  </si>
  <si>
    <t>Khu đô thị OM7</t>
  </si>
  <si>
    <t xml:space="preserve">Nhà đầu tư, tháng 8/2023 cưỡng chế </t>
  </si>
  <si>
    <t>KĐT Bắc TTCT</t>
  </si>
  <si>
    <t>TTCT, Liên Sơn</t>
  </si>
  <si>
    <t xml:space="preserve">Nhà đầu tư, tháng 9/2023 cưỡng chế </t>
  </si>
  <si>
    <t>Chủ đầu tư</t>
  </si>
  <si>
    <t>BT
GPMB</t>
  </si>
  <si>
    <t>XD CSHT</t>
  </si>
  <si>
    <t>Khu dân cư Đô thị Tiền Cao Xá (cạnh CCN Đồng Đình TTCT)</t>
  </si>
  <si>
    <t>giảm KHV đến 31/12/2022 do thu hồi</t>
  </si>
  <si>
    <t>TTPTQĐ&amp;QLTTGTXDMT huyện</t>
  </si>
  <si>
    <t>số 1117/QĐ-UBND ngày 02/11/2021</t>
  </si>
  <si>
    <t>Số 1296/QĐ-UBND ngày 23/8/2022</t>
  </si>
  <si>
    <t>Số 637/QĐ-UBND ngày 23/7/2022</t>
  </si>
  <si>
    <t>số 1114/QĐ-UBND ngày 02/11/2021</t>
  </si>
  <si>
    <t>số 2169/QĐ-UBND ngày 12/5/2022</t>
  </si>
  <si>
    <t>Đã có KHLCNT</t>
  </si>
  <si>
    <t>Dự án chuẩn bị đầu tư</t>
  </si>
  <si>
    <t>XD 
CSHT</t>
  </si>
  <si>
    <t>KHV năm 2021</t>
  </si>
  <si>
    <t>KHV năm 2022</t>
  </si>
  <si>
    <t>Ban CHQS huyện</t>
  </si>
  <si>
    <t>Cải tạo, nâng cấp chợ Mọc, huyện Tân Yên</t>
  </si>
  <si>
    <t>Đường QH từ TL295 đi đường Cao Thượng - Phúc Hòa, huyện Tân Yên (giai đoạn 1)</t>
  </si>
  <si>
    <t>Các hạng mục hạ tầng Quảng trường Lương Văn Nắm</t>
  </si>
  <si>
    <t>số 2012/QĐ-UBND ngày 12/5/2023</t>
  </si>
  <si>
    <t>số 3976/QĐ-UBND ngày 22/8/2023</t>
  </si>
  <si>
    <t>2022-
2024</t>
  </si>
  <si>
    <t xml:space="preserve"> KHV năm 2022 </t>
  </si>
  <si>
    <t xml:space="preserve"> Tổng KHV đề xuất ứng từ Quỹ PTĐ tỉnh</t>
  </si>
  <si>
    <t xml:space="preserve">Đường kết nối từ ĐT 294 đi ĐT 398B (đoạn Phúc Đình xã
Phúc Hòa đi xã Liên Chung - đấu nối đường ĐT 398B), huyện Tân Yên (giai đoạn 1: đường QH từ trường TH Liên Chung đi ĐT 398B) </t>
  </si>
  <si>
    <t>9212/QĐ-UBND ngày 02/12/2021</t>
  </si>
  <si>
    <t>977/QĐ-UBND ngày 29/3/2022</t>
  </si>
  <si>
    <t>Khu dân cư Đồng Vàng, Đông Thành</t>
  </si>
  <si>
    <t>NS huyện hoàn trả vốn ứng và phí ứng vốn</t>
  </si>
  <si>
    <t>Bao gồm</t>
  </si>
  <si>
    <t>Đường từ TL294 đi khu di tích Đồi Văn hóa kháng chiến, xã Quang Tiến, huyện Tân Yên</t>
  </si>
  <si>
    <t>Đường từ TL298 đi UBND xã Ngọc Lý</t>
  </si>
  <si>
    <t>Dự án khởi công mới</t>
  </si>
  <si>
    <t>Vốn ứng từ Quỹ PTĐ tỉnh</t>
  </si>
  <si>
    <t>Vốn ứng từ Quỹ PTĐT</t>
  </si>
  <si>
    <t>Danh mục thực hiện</t>
  </si>
  <si>
    <t>Năm 2023</t>
  </si>
  <si>
    <t>Đơn vị thực hiện</t>
  </si>
  <si>
    <t>Cấp giấy chứng nhận quyền sử dụng đất thuộc thẩm quyền huyện</t>
  </si>
  <si>
    <t>Phòng TN&amp;MT</t>
  </si>
  <si>
    <t>Cấp giấy chứng nhận quyền sử dụng đất sau đo đạc bản đồ địa chính tại các xã, thị trấn: Thị trấn Cao Thượng, thị trấn Nhã Nam, xã Lam Cốt, Quang Tiến, Hợp Đức, Ngọc Thiện, Ngọc Lý</t>
  </si>
  <si>
    <t>Thanh lý đo đạc bản đồ, cấp giấy chứng nhận quyền sử dụng đất</t>
  </si>
  <si>
    <t>Công tác lâp hồ sơ quản lý quỹ đất công ích</t>
  </si>
  <si>
    <t>Công tác chỉnh lý biến động đất đai</t>
  </si>
  <si>
    <t>DANH MỤC KẾ HOẠCH VỐN CHO CÔNG TÁC QUY HOẠCH XÂY DỰNG NĂM 2024</t>
  </si>
  <si>
    <t>DANH MỤC DỰ ÁN</t>
  </si>
  <si>
    <t>Dự toán hoặc khái toán</t>
  </si>
  <si>
    <t>Nguồn vốn bố trí đến năm 2023</t>
  </si>
  <si>
    <t>Điều chỉnh QHC xây dựng thị trấn Cao Thượng, huyện Tân Yên, tỉnh Bắc Giang đến năm 2040</t>
  </si>
  <si>
    <t>Phòng KT&amp;HT</t>
  </si>
  <si>
    <t>Quy hoạch chi tiết xây dựng Khu dân cư Việt Lập (trước kia gọi là Khu đô thị Việt Lập), tỷ lệ 1/500</t>
  </si>
  <si>
    <t>Quy hoạch chi tiết xây dựng Khu đô thị phía Tây thị trấn Nhã Nam (Khu phố Cầu Thượng - Cầu Trắng), huyện Tân Yên, tỷ lệ 1/500</t>
  </si>
  <si>
    <t>Quy hoạch chi tiết xây dựng Khu đô thị dịch vụ Minh Đức- Thượng Lan- Ngọc Thiện, xã Ngọc Thiện (Nay là Khu đô thị dịch vụ Ngọc Thiện, huyện Tân Yên), tỷ lệ 1/500 (DT 42,5)</t>
  </si>
  <si>
    <t>Quy hoạch chi tiết xây dựng Khu dân cư mới Cầu Yêu, thôn Bỉ, xã Ngọc Thiện (nay là Khu đô thị Cầu Yêu, xã Ngọc Thiện, huyện Tân Yên), tỷ lệ 1/500 (DT 26,7ha)</t>
  </si>
  <si>
    <t>Quy hoạch chi tiết xây dựng Khu dân cư xanh Cao Thượng, thị trấn Cao Thượng, huyện Tân Yên (Nay là Khu dân cư xanh Cao Thượng, thị trấn Cao Thượng, xã Cao Xá, huyện Tân Yên) tỷ lệ 1/500,  (DT 17,4ha)</t>
  </si>
  <si>
    <t>Dự án mới</t>
  </si>
  <si>
    <t>Lập điều chỉnh hồ sơ đề xuất khu vực phát triển thị trấn Cao Thượng</t>
  </si>
  <si>
    <t>Cắm mốc quy hoạch ra ngoài thực địa thị trấn Cao Thượng</t>
  </si>
  <si>
    <t>Lũy kế
 KHV</t>
  </si>
  <si>
    <t>Kế hoạch vốn
 năm 2024</t>
  </si>
  <si>
    <t>TỔNG  CỘNG</t>
  </si>
  <si>
    <t>NTM kiểu mẫu;
  dự kiến NH NN&amp;PTNT tỉnh tài trợ: 5 tỷ</t>
  </si>
  <si>
    <t>Vốn ứng</t>
  </si>
  <si>
    <t>Mở rộng diện tích trường Mầm non khu Hòa Làng, xã Phúc Hòa; HM: San nền, tường rào và các công trình phụ trợ</t>
  </si>
  <si>
    <t>KẾ HOẠCH ỨNG VỐN VÀ HOÀN TRẢ ỨNG VỐN ĐỐI VỚI CÁC DỰ ÁN XDCSHT KHU DÂN CƯ</t>
  </si>
  <si>
    <t>Biểu số 03a</t>
  </si>
  <si>
    <t>Biểu số 06</t>
  </si>
  <si>
    <t>Năm 2024</t>
  </si>
  <si>
    <t>Năm 2025</t>
  </si>
  <si>
    <t>DỰ ÁN ĐẦU TƯ CÔNG
 CẤP HUYỆN</t>
  </si>
  <si>
    <t>DỰ ÁN ĐẦU TƯ CÔNG CẤP XÃ</t>
  </si>
  <si>
    <t>Dự án đầu tư công</t>
  </si>
  <si>
    <t>Dự án đầu tư ngoài ngân sách</t>
  </si>
  <si>
    <t>Tháng 7/2024</t>
  </si>
  <si>
    <t xml:space="preserve"> DANH MỤC, KHV ĐẦU TƯ CÔNG NĂM 2024 - CÔNG TRÌNH XDCSHT KHU DÂN CƯ (dự án xây dựng mới)</t>
  </si>
  <si>
    <t>DANH MỤC, KHV ĐẦU TƯ CÔNG NĂM 2024 - CÔNG TRÌNH XDCSHT KHU DÂN CƯ (Dự án chuẩn bị đầu tư)</t>
  </si>
  <si>
    <t>Biểu số 03b</t>
  </si>
  <si>
    <t>Danh mục bố trí KHV để hoàn trả vốn ứng năm 2023</t>
  </si>
  <si>
    <t>Danh mục chuyển tiếp năm 2023 sang năm 2024 sử dụng vốn ứng</t>
  </si>
  <si>
    <t>Dự án chuyển tiếp (hoàn trả vốn ứng, phí ứng vốn và tiếp tục sử dụng vốn ứng)</t>
  </si>
  <si>
    <t xml:space="preserve">Quy hoạch chi tiết xây dựng các xã </t>
  </si>
  <si>
    <t>Phòng KT&amp;HT: Nguồn quyết toán đối với các dự án quy hoạch xây dựng tại các xã,thị trấn</t>
  </si>
  <si>
    <t>2023-2025</t>
  </si>
  <si>
    <t>Đường BTXM trục thôn Ngàn ván, Cầm, Tiêu</t>
  </si>
  <si>
    <t>2023: 2,100tr, bao gồm: NQ22: NSH ht 500tr; QĐ 3727/QĐ-UBND 26/7/2023 UBND tỉnh: 1,600tr)</t>
  </si>
  <si>
    <t>2024-2025</t>
  </si>
  <si>
    <t>htnnntDk: 1,6 tỷ;</t>
  </si>
  <si>
    <t>Đường BTXM từ cống ruộng ông Quyết đi Đất đỏ xã Phúc Sơn</t>
  </si>
  <si>
    <t>ĐVT: Triệu đồng</t>
  </si>
  <si>
    <t>Nội dung</t>
  </si>
  <si>
    <t>Tổng kế hoạch vốn</t>
  </si>
  <si>
    <t>Vốn từ thu tiền đất sử dụng đất(NSH)</t>
  </si>
  <si>
    <t>Nguồn mục tiêu ngân sách trung ương</t>
  </si>
  <si>
    <t>CHI ĐẦU TƯ</t>
  </si>
  <si>
    <t>Biểu 04</t>
  </si>
  <si>
    <t>Biểu 06</t>
  </si>
  <si>
    <t>DỰ KIẾN NGUỒN VỐN ĐẦU TƯ CÔNG NĂM 2024</t>
  </si>
  <si>
    <t>Trong đó năm 2024</t>
  </si>
  <si>
    <t>Hạ tầng NNNT</t>
  </si>
  <si>
    <t>LK KHV đã phân bổ đến 31/12/2023 (NS huyện)</t>
  </si>
  <si>
    <t>KHV đã ứng quỹ năm 2023</t>
  </si>
  <si>
    <t>Biểu số 03c</t>
  </si>
  <si>
    <t>Biểu số 3a</t>
  </si>
  <si>
    <t>Biểu số 3b</t>
  </si>
  <si>
    <t>Biểu số 3c</t>
  </si>
  <si>
    <t>Biểu 7a,7b</t>
  </si>
  <si>
    <t>Biểu số 7a</t>
  </si>
  <si>
    <t>Biểu số 7b</t>
  </si>
  <si>
    <t>Dự án xây dựng cơ bản cấp huyện</t>
  </si>
  <si>
    <t>GPMB,XDCS hạ tầng dân cư</t>
  </si>
  <si>
    <t>Hỗ trợ mục tiêu dự án công trình cấp xã</t>
  </si>
  <si>
    <t>Hỗ trợ mục tiêu dự án hạ tầng NNNT</t>
  </si>
  <si>
    <t>Dự án hạ tầng dân cư chuẩn bị đầu tư</t>
  </si>
  <si>
    <t>Biểu 02</t>
  </si>
  <si>
    <t>Biểu 3a</t>
  </si>
  <si>
    <t>Biểu 3b</t>
  </si>
  <si>
    <t>Biểu 3c</t>
  </si>
  <si>
    <t>Nguồn mục tiêu NST</t>
  </si>
  <si>
    <t>…</t>
  </si>
  <si>
    <t>Biểu 05</t>
  </si>
  <si>
    <t>Hỗ trợ mục tiêu dự án XD NTM nâng cao</t>
  </si>
  <si>
    <t>Trả vốn vay và ứng vốn Quỹ PTĐ tỉnh</t>
  </si>
  <si>
    <t>DK ứng vốn từ Quỹ PTĐ tỉnh</t>
  </si>
  <si>
    <t>Trường Tiểu học Ngọc Châu; HM: Công trình phụ trợ</t>
  </si>
  <si>
    <t>Trường Mầm non Khu dân cư Đồng Cửa, thôn Quang Châu</t>
  </si>
  <si>
    <t>Giải phóng mặt bằng chùa Tứ Giáp</t>
  </si>
  <si>
    <t>Xây dựng nghĩa trang nhân dân Đồi Cành Sung</t>
  </si>
  <si>
    <t>Xây dựng NVH TDP Lao Động</t>
  </si>
  <si>
    <t>Cải tạo, nâng cấp Trụ sở ĐU-HĐND-UBND xã (HM: Nâng tầng 3, sân, tường bao...)</t>
  </si>
  <si>
    <t>Chỉ thực hiện khi xử lý xong nợ XDCB và cân đối được nguồn vốn</t>
  </si>
  <si>
    <t>Xây 6 phòng học trường Mầm non khu Đầu Cần</t>
  </si>
  <si>
    <t>Xây dựng nhà làm việc Công an xã Cao Xá</t>
  </si>
  <si>
    <t>Trụ sở làm việc Công an TT Cao Thượng</t>
  </si>
  <si>
    <t>Đường vào trường Tiểu học Cao Thượng; HM: Mở rộng mặt đường, rãnh thoát nước, vỉa hè và các hạng mục trên đường</t>
  </si>
  <si>
    <t>Đường BTXM TDP Tân Tiến: Tôn cạp, mở rộng, BTXM mặt đường</t>
  </si>
  <si>
    <t>Cải tạo nâng cấp Nghĩa trang liệt sỹ xã</t>
  </si>
  <si>
    <t>2024-
2025</t>
  </si>
  <si>
    <t>Có vốn mới triển khai thực hiện</t>
  </si>
  <si>
    <t>Cải tạo, nâng cấp Nghĩa trang liệt sỹ xã</t>
  </si>
  <si>
    <t>Nhà lớp học 12 phòng và các công trình phụ trợ trường THCS Nguyên Hồng, xã Quang Tiến</t>
  </si>
  <si>
    <t>Tu bổ di tích QGĐB Đình Hả, Tân Trung</t>
  </si>
  <si>
    <t>Trưởng Tiểu học Tân Trung; HM: Nhà hiệu bộ và các hạng mục phụ trợ</t>
  </si>
  <si>
    <t>Đường BTXM từ cống ruộng ông Quyết đi Đất đỏ</t>
  </si>
  <si>
    <t>cân đối được nguồn vốn mới triển khai thực hiện</t>
  </si>
  <si>
    <t>Xây dựng Nhà lớp học 18 phòng, 3 tầng trường THCS Lam Cốt</t>
  </si>
  <si>
    <t>Xây dựng nhà đa năng, sân, cổng, nhà bảo vệ trường Tiểu học Lam Cốt</t>
  </si>
  <si>
    <t>Đường nội đồng thôn Thọ Điền 1, Thọ Điền 2</t>
  </si>
  <si>
    <t xml:space="preserve">đề xuất htnnnt 2024 </t>
  </si>
  <si>
    <t>Cứng hóa Kênh Thọ Điền</t>
  </si>
  <si>
    <t>Kênh cứng Núi Nắp, thôn Ải</t>
  </si>
  <si>
    <t>Xây 2 trạm bơm (Cả, Trại Rừng)</t>
  </si>
  <si>
    <t xml:space="preserve">Chuẩn bị đầu tư </t>
  </si>
  <si>
    <t>Phụ trợ sân vườn Trụ sở làm việc xã Ngọc Vân</t>
  </si>
  <si>
    <t>Xây mới 12 phòng học trường Mầm non Ngọc Vân</t>
  </si>
  <si>
    <t>Sửa chữa Nhà văn hóa xã</t>
  </si>
  <si>
    <t>Nâng cấp đường trục chính BTXM thôn Tam Bình</t>
  </si>
  <si>
    <t>Nâng cấp đường trục chính BTXM thôn Thọ Điền - Đồng Lạng</t>
  </si>
  <si>
    <t>Nâng cấp đường trục chính BTXM thôn Nội</t>
  </si>
  <si>
    <t>Nâng cấp đường trục chính BTXM thôn Ngọc Lĩnh</t>
  </si>
  <si>
    <t>Nâng cấp đường trục chính BTXM thôn Đồng Phương</t>
  </si>
  <si>
    <t>Nâng cấp đường trục chính BTXM thôn Chè</t>
  </si>
  <si>
    <t>Trung tâm PTQĐ</t>
  </si>
  <si>
    <t>đề xuất ứng vốn 2024</t>
  </si>
  <si>
    <t>Đường BTXM trục thôn Xuân Tiến</t>
  </si>
  <si>
    <t>Nâng cấp sửa chữa Nhà văn hóa UBND xã; HM: Các công trình phụ trợ và các thiết bị</t>
  </si>
  <si>
    <t>Đường BTXM từ tỉnh lộ 294 đi thôn Tân Long xã Tân Trung</t>
  </si>
  <si>
    <t>htnnnt dk: 2.400tr</t>
  </si>
  <si>
    <t>htnnnt DK3200tr</t>
  </si>
  <si>
    <t>đề xuất htnnntdk 2400</t>
  </si>
  <si>
    <t>htnnntDk: 1,1 tỷ;</t>
  </si>
  <si>
    <t>Cứng hóa đường BTXM trục nội đồng thôn Lương Tân</t>
  </si>
  <si>
    <t xml:space="preserve"> DỰ KIẾN CÁC DANH MỤC, CÔNG TRÌNH  CÓ NGUỒN ĐỐI ỨNG TỪ NGUỒN HỖ TRỢ MỤC TIÊU HẠ TẦNG NÔNG NGHIỆP NÔNG THÔN</t>
  </si>
  <si>
    <t>Cải tạo Nhà văn hóa xã</t>
  </si>
  <si>
    <t>Xây dựng CSHT Khu dân cư thôn Chợ, Tân Lập, Giữa</t>
  </si>
  <si>
    <t>Xây dựng CSHT Khu dân cư thôn Đồng Ván, thôn Gạc</t>
  </si>
  <si>
    <t>Xây dựng CSHT Cụm dân cư Đức Hiệu, xã Cao Xá</t>
  </si>
  <si>
    <t>Xây dựng CSHT Khu dân cư Đồng Sỏi, thôn Lục Liễu Trên (giai đoạn 3)</t>
  </si>
  <si>
    <t>Xây dựng CSHT Khu dân cư cửa NVH thôn Me Điền (bám đường Cao Xá - Lam Cốt)</t>
  </si>
  <si>
    <t>Xây dựng CSHT Khu dân cư tập trung thôn Phố Thễ khu NVH Phố Thễ - GĐ 1</t>
  </si>
  <si>
    <t>Xây dựng CSHT Khu dân cư tập trung thôn Phố Thễ khu NVH Phố Thễ - GĐ 2</t>
  </si>
  <si>
    <t>Xây dựng CSHT Khu dân cư thôn Đồng Lim - gđ 2</t>
  </si>
  <si>
    <t>Xây dựng CSHT Khu dân cư Đồi Rồng - gđ 2</t>
  </si>
  <si>
    <t>Xây dựng CSHT Khu dân cư thôn Cầu Đồng 9 - gđ1</t>
  </si>
  <si>
    <t>Xây dựng CSHT Khu dân cư thôn Thúy - Cầu Hội Phú, xã Ngọc Vân  - giai đoạn 1</t>
  </si>
  <si>
    <t>Xây dựng CSHT Khu dân cư Đồng Hương thôn Phúc Lễ</t>
  </si>
  <si>
    <t>Xây dựng CSHT Khu dân cư
 thôn  Hòa Làng</t>
  </si>
  <si>
    <t>Xây dựng CSHT Khu dân cư Đồi Mạ, thôn Yên Lý</t>
  </si>
  <si>
    <t xml:space="preserve">Xây dựng CSHT Khu dân cư bờ Phơi, cửa Biếu thôn Đông Lai </t>
  </si>
  <si>
    <t>Xây dựng CSHT Khu dân cư sau ông Nộm, thôn Bùi</t>
  </si>
  <si>
    <t>Xây dựng CSHT Khu dân cư Cửa Bia thôn Ngoài,Tân Lập</t>
  </si>
  <si>
    <t>Xây dựng CSHT Khu dân cư Chuôm Nho Tân Quang</t>
  </si>
  <si>
    <t>Xây dựng CSHT Khu dân cư trước cửa UBND xã, thôn Kim Tràng</t>
  </si>
  <si>
    <t>Khu dân cư Đình Thông, xã Ngọc Vân</t>
  </si>
  <si>
    <t>Khu dân cư Trung tâm xã Liên Chung</t>
  </si>
  <si>
    <t>Xây dựng CSHT khu dân cư ngã tư Làng Đồng (đường đi UBND xã), thôn Làng Đồng, xã Ngọc Lý</t>
  </si>
  <si>
    <t>Xây dựng CSHT Khu dân cư trước cửa nhà văn hoá thôn Ải</t>
  </si>
  <si>
    <t>BS</t>
  </si>
  <si>
    <t>BS để thực hiện tiếp của gđ 1 để đủ điều kiện đấu giá</t>
  </si>
  <si>
    <t>Xây dựng CSHT Khu dân cư Dốc Đỏ, thôn Chính Ngoài, Trấn Thành, xã Quang Tiến</t>
  </si>
  <si>
    <t xml:space="preserve">Xây dựng CSHT Khu dân cư Đồng Xi, thôn Chúc, xã Đại Hóa </t>
  </si>
  <si>
    <t>Xây dựng CSHT Khu dân cư thôn Thúy Cầu (Đồi ông Chương)</t>
  </si>
  <si>
    <t>Xây dựng CSHT Khu dân cư Đồi Rồng, xã Ngọc Lý</t>
  </si>
  <si>
    <t xml:space="preserve"> Xây dựng CSHT Khu dân cư cạnh trường THCS, xã Liên Chung</t>
  </si>
  <si>
    <t>Xây dựng CSHT Khu dân cư thôn Ngùi (khu 1 và 2)</t>
  </si>
  <si>
    <t>Xây dựng CSHT Khu dân cư Đồng Xuân, TTNN</t>
  </si>
  <si>
    <t>Xây dựng CSHT Khu dân cư thôn Nành Tón, xã Việt Ngọc</t>
  </si>
  <si>
    <t>Xây dựng CSHT Cụm dân cư thôn Lân Thịnh (cạnh cây xăng Lân Thịnh), xã Phúc Hòa</t>
  </si>
  <si>
    <t>Xây dựng CSHT Khu dân cư Đồng Lời, thôn Chung, xã Liên Sơn</t>
  </si>
  <si>
    <t>Xây dựng CSHT Khu dân cư thôn Tiêu, Cầm, Ngàn Am</t>
  </si>
  <si>
    <t>Điều chỉnh DM do không thực hiện dự án trường MN</t>
  </si>
  <si>
    <t>Lũy kế KHV bao gồm cả nguồn vốn ứng từ Quỹ PTĐ tỉnh</t>
  </si>
  <si>
    <r>
      <t xml:space="preserve">Lũy kế KHV bố trí cho dự án </t>
    </r>
    <r>
      <rPr>
        <b/>
        <sz val="9"/>
        <rFont val="Times New Roman"/>
        <family val="1"/>
      </rPr>
      <t>(NS huyện, chưa bao gồm vốn ứng)</t>
    </r>
  </si>
  <si>
    <t xml:space="preserve"> Đường kết nối từ ĐT 294 đi ĐT 398B, đoạn Phúc Đình xã Phúc Hòa đi xã Liên Chung - đấu nối ĐT 398B, huyện Tân Yên: gđ 2: từ Cầu Liềng xã Phúc Hòa đi Liên Chung</t>
  </si>
  <si>
    <t>Xây dựng Trung thâm thể thao thị trấn Nhã Nam</t>
  </si>
  <si>
    <t>Công trình Xây dựng CSHT khu
dân cư Lãn Tranh 1+2 xã Liên Chung (GĐ2)</t>
  </si>
  <si>
    <t>Đường từ Đồng Xứng, Việt Ngọc đi Lương Phong, Hiệp Hòa</t>
  </si>
  <si>
    <t>DỰ KIẾN THU TIỀN SỬ DỤNG ĐẤT TỪ ĐẤT GIÁ QSD ĐẤT NĂM 2024</t>
  </si>
  <si>
    <t>KẾ HOẠCH ĐẤU GIÁ QSD ĐẤT, THU TIỀN SỬ DỤNG  NĂM 2024</t>
  </si>
  <si>
    <t>Xã, thị trấn</t>
  </si>
  <si>
    <t>Quy mô (ha)</t>
  </si>
  <si>
    <t>Theo KH đấu giá quyền sử dụng đất năm 2024 của Trung tâm PTQĐ tổng hợp ngày 27/11/2023</t>
  </si>
  <si>
    <t>Dự kiến số tiền trúng giá (tỷ)</t>
  </si>
  <si>
    <t>Dự kiến khả năng thu vào ngân sách</t>
  </si>
  <si>
    <t>Tháng 1/2024</t>
  </si>
  <si>
    <t>Đã GPMB, xây dựng CSHT, đang lập KHBVMT, PA đất mặt</t>
  </si>
  <si>
    <t>Khu dân cư thôn Thúy Cầu gđ1</t>
  </si>
  <si>
    <t>Đã GPMB, đang xây dựng CSHT</t>
  </si>
  <si>
    <t>Cụm dân cư thôn Thúy Cầu gđ2</t>
  </si>
  <si>
    <t>Dự án dân cư Đồng Khanh</t>
  </si>
  <si>
    <t>XDCSHT xong, đã có PA đất mặt, đã có KH BVMT</t>
  </si>
  <si>
    <t>Cụm dân cư thôn Đồi Rồng (gđ2)</t>
  </si>
  <si>
    <t>Tháng 11/2024</t>
  </si>
  <si>
    <t>Dự án dân cư thôn Đồng Lim (gđ2)</t>
  </si>
  <si>
    <t>Đã chi trả tiền GPMB, đang hoàn thiện hồ thu hồi GPMB</t>
  </si>
  <si>
    <t>Dự án dân cư thôn Cầu Đồng 9 (gđ1)</t>
  </si>
  <si>
    <t>DA dân cư thôn Cầu Cần gđ2</t>
  </si>
  <si>
    <t>DA dân cư Cửa UB, thôn Kim Tràng</t>
  </si>
  <si>
    <t>DA Dân cư Đồng Tơ, Nghè Mẩy, thôn Trong Giữa</t>
  </si>
  <si>
    <t>Dự án dân cư thôn Nguyễn, Đồng Sen</t>
  </si>
  <si>
    <t xml:space="preserve"> Tân Trung</t>
  </si>
  <si>
    <t>Tháng 3/2024</t>
  </si>
  <si>
    <t>Đã xây hạ tầng xong, Có PA đất mặt, BVMT, đang xin chuyển mục đích</t>
  </si>
  <si>
    <t>Dự án dân cư Cửa Bia thôn Ngoài, Tân Lập</t>
  </si>
  <si>
    <t>TTPTQĐ</t>
  </si>
  <si>
    <t>XDCSHT xong, đã có PA đất mặt, đang trình KH BVMT</t>
  </si>
  <si>
    <t>Khu dân cư Dốc Đỏ, Trấn thành, xã Quang Tiến (gđ 1)</t>
  </si>
  <si>
    <t>Đang XDCSHT, đã có PA đất mặt, đang trình KH BVMT</t>
  </si>
  <si>
    <t>Khu dân cư Dốc Đỏ, Trấn thành, xã Quang Tiến (gđ 2)</t>
  </si>
  <si>
    <t>XDCSHT xong, đã có PA đất mặt, đã có KH BVMT, đang CMĐ</t>
  </si>
  <si>
    <t>DA dân cư Đồng Lời, thôn Chung</t>
  </si>
  <si>
    <t>Mới có chủ trương đầu tư</t>
  </si>
  <si>
    <t>DA dân cư Đồi Mạ thôn Yên Lý</t>
  </si>
  <si>
    <t>1,8</t>
  </si>
  <si>
    <t>DA dân cư thôn Đồi Mạ (cạnh khu CN)</t>
  </si>
  <si>
    <t xml:space="preserve"> Ngọc Thiện</t>
  </si>
  <si>
    <t>BQLDA</t>
  </si>
  <si>
    <t>DA dân cư khu HTX thôn Hương</t>
  </si>
  <si>
    <t>1,5</t>
  </si>
  <si>
    <t>Dự án dân cư Trước cửa NVH thôn Ải</t>
  </si>
  <si>
    <t>Đang trình chủ trương đầu tư</t>
  </si>
  <si>
    <t>Dự án dân cư sau Trường Mầm non khu B TDP Đình Giã</t>
  </si>
  <si>
    <t>TTNN</t>
  </si>
  <si>
    <t>Cụm dân cư Chuôm Nho Tân Quang</t>
  </si>
  <si>
    <t>Cụm dân cư Chuôm Nho TDP Bài</t>
  </si>
  <si>
    <t>Khu dân cư Đồng Xuân, TDP Bùng</t>
  </si>
  <si>
    <t xml:space="preserve"> Liên Chung</t>
  </si>
  <si>
    <t>Cụm dân cư Bờ hôi thôn sấu gđ2</t>
  </si>
  <si>
    <t>Đã trả xong tiền GPMB, Đang XD hạ tầng, đã có KHBVMT</t>
  </si>
  <si>
    <t>Dự án dân cư Na Cau thôn Hậu</t>
  </si>
  <si>
    <t>Đã chi trả xong tiền, đang XD hạ tầng</t>
  </si>
  <si>
    <t>Dự án dân cư Cạnh Trường THCS</t>
  </si>
  <si>
    <t>Đang trình cưỡng chế thu hồi</t>
  </si>
  <si>
    <t>DA dân cư thôn Phú Thành</t>
  </si>
  <si>
    <t>Đã GPMB, đang XD hạ tầng, đang hoàn thiện hồ sơ xin CMĐ, đã có KHBVMT</t>
  </si>
  <si>
    <t>DA dân cư Đồng Riệc, Đồng Mái thôn Ba Làng</t>
  </si>
  <si>
    <t>Dự án dân cư Đồng Cửa thôn Quang Châu gđ2</t>
  </si>
  <si>
    <t>Đã GPMB xong, XDHT, đang hoàn thiện hồ sơ xin CMĐ, đã có KHBVMT</t>
  </si>
  <si>
    <t>DA dân cư thôn Quang Châu</t>
  </si>
  <si>
    <t>KDC tập trung thôn Phố Thễ, khu NVH phố Thễ (gđ1, gđ2, gđ3)</t>
  </si>
  <si>
    <t>DA dân cư thôn Đức Hiệu</t>
  </si>
  <si>
    <t>Đã GPMB, đã có PA đất mặt, đang thi công HT, và lập KHMT</t>
  </si>
  <si>
    <t>DA dân cư thôn Ngùi 1 Ngùi 2</t>
  </si>
  <si>
    <t>DA dân cư cổng trường THCS</t>
  </si>
  <si>
    <t>DA dân cư thôn Nành Tón</t>
  </si>
  <si>
    <t>DA dân cư thôn Tiêu, Cầm, Ngàn Am</t>
  </si>
  <si>
    <t>DA dân cư Thôn Giữa, Chợ, Tân Lập</t>
  </si>
  <si>
    <t>DA dân cư thôn Đồng Ván, Gạc</t>
  </si>
  <si>
    <t>DA dân cư ông Nộm</t>
  </si>
  <si>
    <t>Tháng 8/2024</t>
  </si>
  <si>
    <t>DA dân cư Bờ Phơi, Cửa Biếu Thôn Đông Lai (gđ1)</t>
  </si>
  <si>
    <t>DA dân cư Bờ Phơi, Cửa Biếu Thôn Đông Lai (gđ2)</t>
  </si>
  <si>
    <t>DA dân cư Cạnh cây xăng thôn Lân Thịnh</t>
  </si>
  <si>
    <t>Dự án dân cư thôn Hòa Làng</t>
  </si>
  <si>
    <t>DA dân cư Đồng Hương thôn Phúc Lễ</t>
  </si>
  <si>
    <t>Dự án dân cư thôn Đồng Vàng, Đông Thành</t>
  </si>
  <si>
    <t>DA dân cư trung tâm xã, Đồng Sỏi thôn Lục Liễu trên Cạnh Nhà Bia (gd1)</t>
  </si>
  <si>
    <t>DA dân cư trung tâm xã, Đồng Sỏi thôn Lục Liễu trên Cạnh Nhà Bia (gđ2)</t>
  </si>
  <si>
    <t>Dự án dân cư Đồng Luyến thôn Quất (gđ 2)</t>
  </si>
  <si>
    <t>DA dân cư Đồng Sỏi (gđ 3)</t>
  </si>
  <si>
    <t>Đang điều chỉnh chủ trương đầu tư</t>
  </si>
  <si>
    <t>Cải tạo nhà văn hóa xã và các hạng mục phụ trợ</t>
  </si>
  <si>
    <t>Trường Mầm non Ngọc Lý, huyện Tân Yên; Hạng mục: Nhà bếp</t>
  </si>
  <si>
    <t>Đường BTXM từ đầu đường Cao Xá - Lam Cốt đi NVH thôn Tân An - đi tỉnh lộ 294B</t>
  </si>
  <si>
    <t>2023-
2024</t>
  </si>
  <si>
    <t>Trường THCS Phúc Sơn, hạng mục: Sửa chữa nâng cấp NLH 2 tầng và hạng mục trợ</t>
  </si>
  <si>
    <t xml:space="preserve">Đường BTXM từ UBND xã Lan Giới đi An Thượng, Yên Thế </t>
  </si>
  <si>
    <t>Sửa chữa nhà hiệu bộ trường THCS</t>
  </si>
  <si>
    <t>Kênh cứng thôn Đọ</t>
  </si>
  <si>
    <t>Đường BTXM từ Cống Chúc đi Chợ Đại Hóa</t>
  </si>
  <si>
    <t>Nâng cấp sân thể thao thôn Phú Thành</t>
  </si>
  <si>
    <t>Nâng cấp sân thể thao thôn Chúc</t>
  </si>
  <si>
    <t>Nâng cấp sân thể thao thôn Liên Cao</t>
  </si>
  <si>
    <t>Xây mới Nhà lớp học 15P trường THCS Phúc Hòa</t>
  </si>
  <si>
    <t>Nâng cấp Cầu Núi Án</t>
  </si>
  <si>
    <t>Trường Mầm non Trung tâm Hợp Đức, huyện Tân Yên (Hạng: Nhà lớp học 12 phòng và các hạng mục phụ trợ)</t>
  </si>
  <si>
    <t>Cải tạo, nâng cấp đường BTXM từ Hòa Làng đi Cả Am</t>
  </si>
  <si>
    <t>Sửa chữa, cải tạo nhà lớp học 2 tầng và các hạng mục phụ trợ trường mầm non xã Hợp Đức</t>
  </si>
  <si>
    <t>Đường điện thắp sáng các trục đường liên thôn, liên xã</t>
  </si>
  <si>
    <t>Đường từ 398B đến Nhà văn hóa thôn Đồng Sen, xã Việt Lập</t>
  </si>
  <si>
    <t>Đường từ TL295 đi THCS thị trấn Cao Thượng, huyện Tân Yên</t>
  </si>
  <si>
    <t>để tên đúng theo NQ thu hồi đất lúa số 57/NQ-HĐND</t>
  </si>
  <si>
    <t>Đường từ ĐT 295 đi ĐT 298 (đoạn từ Cổng Mọc đi Cống Mắm) thị trấn Cao Thượng</t>
  </si>
  <si>
    <t>số 8682/QĐ-UBND ngày 26/11/2021</t>
  </si>
  <si>
    <t>Quy hoạch Thương mại - dịch vụ</t>
  </si>
  <si>
    <t xml:space="preserve">Cấp giấy chứng nhận quyền sử dụng đất sau dồn điền đổi thửa </t>
  </si>
  <si>
    <t>Đo đạc chỉnh lý bản đồ địa chính khu đất đã đấu giá quyền sử dụng đất phục vụ công tác cấp giấy chứng nhận quyền sử dụng đất</t>
  </si>
  <si>
    <t>Đo đạc chỉnh lý bản đồ địa chính các xã, giảm nợ</t>
  </si>
  <si>
    <t>TT UBND huyện</t>
  </si>
  <si>
    <t>Xây dựng CSHT Khu dân cư Đồng Riệc Đồng Mái, thôn Ba Làng</t>
  </si>
  <si>
    <t>Nâng cấp tuyến đường liên xã từ Ba Mô đi Đồi Rồng xã Ngọc Lý</t>
  </si>
  <si>
    <t>Tên DM được phân bổ trong trung hạn là:  Đường từ TL298 đi UBND xã Ngọc Lý</t>
  </si>
  <si>
    <t>Xây dựng Trụ sở làm việc Công an xã Liên Chung</t>
  </si>
  <si>
    <t>Xây dựng Trụ sở làm việc Công an xã Phúc Hòa</t>
  </si>
  <si>
    <t>Xây dựng Trụ sở làm việc Công an xã Song Vân</t>
  </si>
  <si>
    <t>Xây dựng Trụ sở làm việc Công an xã Quế Nham</t>
  </si>
  <si>
    <t>Xây dựng Trụ sở làm việc Công an xã Tân Trung</t>
  </si>
  <si>
    <t>Xây dựng Trụ sở làm việc Công an xã Việt Ngọc</t>
  </si>
  <si>
    <t>(Kèm theo Kế hoạch số ……./KH-UBND ngày ……./……/2023 của UBND huyện Tân Yên)</t>
  </si>
  <si>
    <t>Xây dựng 18 phòng trường Tiểu học Liên Chung</t>
  </si>
  <si>
    <t>Trường Mầm non Lãn Tranh, Liên Chung: Hạng mục San lấp. GPMB xây dựng khu phòng chức năng</t>
  </si>
  <si>
    <t>CBĐT, hoàn thiện tiêu chí phấn đấu về đích NTM nâng cao 2024</t>
  </si>
  <si>
    <t>Cứng hóa đường BTXM nội đồng thôn Suối Chính</t>
  </si>
  <si>
    <t>htnnntDk:0,8 tỷ;</t>
  </si>
  <si>
    <t>Lập kế hoạch sử dụng đất năm 2025</t>
  </si>
  <si>
    <t>Quy hoạch, đo đạc, cấp giấy chứng nhận QSD đất, giảm nợ, khác…</t>
  </si>
  <si>
    <t>QUY HOẠCH, ĐO ĐẠC, CẤP GCN QSDĐ, GIẢM NỢ, KHÁC…</t>
  </si>
  <si>
    <t>Ủy thác vốn NSĐP qua Ngân hàng Chính sách xã hội để cho vay đối với người nghèo và các đối tượng chính sách khác</t>
  </si>
  <si>
    <t>NHCSXH huyện</t>
  </si>
  <si>
    <t>KẾ HOẠCH VỐN CHO QUY HOẠCH, ĐO ĐẠC BẢN ĐỒ, CẤP GIẤY CHỨNG NHẬN QUYỀN SỬ DỤNG ĐẤT, 
GIẢM NỢ, HỖ TRỢ KHÁC NĂM 2024</t>
  </si>
  <si>
    <t>Xây dựng CSHT Cụm dân cư Đồng Lều, thôn Chài (nay là thôn Sặt), xã Liên Sơn - giai đoạn 2</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</si>
</sst>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_);_(* \(#,##0\);_(* &quot;-&quot;_);_(@_)"/>
    <numFmt numFmtId="165" formatCode="_(* #,##0.00_);_(* \(#,##0.00\);_(* &quot;-&quot;??_);_(@_)"/>
    <numFmt numFmtId="166" formatCode="_-* #,##0.00\ _₫_-;\-* #,##0.00\ _₫_-;_-* &quot;-&quot;??\ _₫_-;_-@_-"/>
    <numFmt numFmtId="167" formatCode="_(* #,##0_);_(* \(#,##0\);_(* &quot;-&quot;??_);_(@_)"/>
    <numFmt numFmtId="168" formatCode="_-* #,##0\ _₫_-;\-* #,##0\ _₫_-;_-* &quot;-&quot;??\ _₫_-;_-@_-"/>
    <numFmt numFmtId="169" formatCode="#,##0.0"/>
  </numFmts>
  <fonts count="122" x14ac:knownFonts="1">
    <font>
      <sz val="10"/>
      <name val="Arial"/>
    </font>
    <font>
      <sz val="10"/>
      <name val="Arial"/>
      <family val="2"/>
    </font>
    <font>
      <sz val="12"/>
      <name val="Times New Roman"/>
      <family val="1"/>
    </font>
    <font>
      <sz val="11"/>
      <color indexed="8"/>
      <name val="Calibri"/>
      <family val="2"/>
    </font>
    <font>
      <sz val="12"/>
      <name val="Times New Roman"/>
      <family val="1"/>
      <charset val="163"/>
    </font>
    <font>
      <sz val="10"/>
      <name val="Arial"/>
      <family val="2"/>
    </font>
    <font>
      <sz val="13"/>
      <name val="Times New Roman"/>
      <family val="1"/>
    </font>
    <font>
      <sz val="10"/>
      <name val="Arial"/>
      <family val="2"/>
      <charset val="163"/>
    </font>
    <font>
      <b/>
      <sz val="12"/>
      <name val="Times New Roman"/>
      <family val="1"/>
      <charset val="163"/>
    </font>
    <font>
      <sz val="8"/>
      <color rgb="FFFF0000"/>
      <name val="Times New Roman"/>
      <family val="1"/>
    </font>
    <font>
      <sz val="9"/>
      <color rgb="FFFF0000"/>
      <name val="Times New Roman"/>
      <family val="1"/>
    </font>
    <font>
      <sz val="12"/>
      <color rgb="FFFF0000"/>
      <name val="Times New Roman"/>
      <family val="1"/>
      <charset val="163"/>
    </font>
    <font>
      <sz val="12"/>
      <color rgb="FFFF0000"/>
      <name val="Times New Roman"/>
      <family val="1"/>
    </font>
    <font>
      <sz val="10"/>
      <color rgb="FFFF0000"/>
      <name val="Arial"/>
      <family val="2"/>
    </font>
    <font>
      <b/>
      <sz val="10"/>
      <name val="Arial"/>
      <family val="2"/>
    </font>
    <font>
      <b/>
      <sz val="12"/>
      <color rgb="FFFF0000"/>
      <name val="Times New Roman"/>
      <family val="1"/>
      <charset val="163"/>
    </font>
    <font>
      <b/>
      <sz val="12"/>
      <color rgb="FFFF0000"/>
      <name val="Times New Roman"/>
      <family val="1"/>
    </font>
    <font>
      <b/>
      <sz val="12"/>
      <name val="Times New Roman"/>
      <family val="1"/>
    </font>
    <font>
      <sz val="9"/>
      <name val="Times New Roman"/>
      <family val="1"/>
    </font>
    <font>
      <sz val="12"/>
      <name val="Arial"/>
      <family val="2"/>
    </font>
    <font>
      <sz val="11"/>
      <color theme="1"/>
      <name val="Calibri"/>
      <family val="2"/>
    </font>
    <font>
      <sz val="14"/>
      <name val="Times New Roman"/>
      <family val="1"/>
    </font>
    <font>
      <sz val="11"/>
      <name val="Arial"/>
      <family val="2"/>
    </font>
    <font>
      <sz val="10"/>
      <name val="Times New Roman"/>
      <family val="1"/>
    </font>
    <font>
      <sz val="12"/>
      <color theme="1"/>
      <name val="Times New Roman"/>
      <family val="1"/>
    </font>
    <font>
      <b/>
      <sz val="10"/>
      <name val="Times New Roman"/>
      <family val="1"/>
      <charset val="163"/>
    </font>
    <font>
      <b/>
      <sz val="11"/>
      <name val="Times New Roman"/>
      <family val="1"/>
      <charset val="163"/>
    </font>
    <font>
      <sz val="12"/>
      <color indexed="9"/>
      <name val="Times New Roman"/>
      <family val="1"/>
    </font>
    <font>
      <i/>
      <sz val="12"/>
      <name val="Times New Roman"/>
      <family val="1"/>
    </font>
    <font>
      <b/>
      <sz val="14"/>
      <name val="Times New Roman"/>
      <family val="1"/>
    </font>
    <font>
      <b/>
      <i/>
      <sz val="12"/>
      <name val="Times New Roman"/>
      <family val="1"/>
    </font>
    <font>
      <sz val="11"/>
      <name val="Times New Roman"/>
      <family val="1"/>
    </font>
    <font>
      <b/>
      <sz val="11"/>
      <name val="Times New Roman"/>
      <family val="1"/>
    </font>
    <font>
      <b/>
      <sz val="9"/>
      <name val="Times New Roman"/>
      <family val="1"/>
    </font>
    <font>
      <i/>
      <sz val="12"/>
      <color rgb="FFFF0000"/>
      <name val="Times New Roman"/>
      <family val="1"/>
    </font>
    <font>
      <b/>
      <i/>
      <sz val="12"/>
      <color rgb="FFFF0000"/>
      <name val="Times New Roman"/>
      <family val="1"/>
    </font>
    <font>
      <b/>
      <sz val="9"/>
      <name val="Times New Roman"/>
      <family val="1"/>
      <charset val="163"/>
    </font>
    <font>
      <sz val="9"/>
      <name val="Times New Roman"/>
      <family val="1"/>
      <charset val="163"/>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sz val="10"/>
      <color indexed="8"/>
      <name val="Times New Roman"/>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2"/>
      <name val=".VnTime"/>
      <family val="2"/>
    </font>
    <font>
      <sz val="14"/>
      <color theme="1"/>
      <name val="Times New Roman"/>
      <family val="2"/>
    </font>
    <font>
      <sz val="11"/>
      <color theme="1"/>
      <name val="Calibri"/>
      <family val="2"/>
      <scheme val="minor"/>
    </font>
    <font>
      <b/>
      <sz val="10"/>
      <name val="Times New Roman"/>
      <family val="1"/>
    </font>
    <font>
      <sz val="10"/>
      <color rgb="FFFF0000"/>
      <name val="Times New Roman"/>
      <family val="1"/>
    </font>
    <font>
      <b/>
      <sz val="13"/>
      <name val="Times New Roman"/>
      <family val="1"/>
    </font>
    <font>
      <b/>
      <sz val="8"/>
      <name val="Times New Roman"/>
      <family val="1"/>
    </font>
    <font>
      <i/>
      <sz val="9"/>
      <name val="Times New Roman"/>
      <family val="1"/>
    </font>
    <font>
      <sz val="9"/>
      <name val="Arial"/>
      <family val="2"/>
    </font>
    <font>
      <b/>
      <sz val="9"/>
      <color rgb="FFFF0000"/>
      <name val="Times New Roman"/>
      <family val="1"/>
    </font>
    <font>
      <b/>
      <sz val="8"/>
      <name val="Times New Roman"/>
      <family val="1"/>
      <charset val="163"/>
    </font>
    <font>
      <b/>
      <sz val="9"/>
      <name val="Arial"/>
      <family val="2"/>
    </font>
    <font>
      <sz val="10"/>
      <color rgb="FFFF0000"/>
      <name val="Times New Roman"/>
      <family val="1"/>
      <charset val="163"/>
    </font>
    <font>
      <sz val="12"/>
      <color rgb="FFFF0000"/>
      <name val="Arial"/>
      <family val="2"/>
    </font>
    <font>
      <sz val="8"/>
      <color theme="1"/>
      <name val="Times New Roman"/>
      <family val="1"/>
    </font>
    <font>
      <sz val="8"/>
      <name val="Arial"/>
      <family val="2"/>
    </font>
    <font>
      <sz val="8"/>
      <name val="Times New Roman"/>
      <family val="1"/>
    </font>
    <font>
      <b/>
      <sz val="13"/>
      <color rgb="FFFF0000"/>
      <name val="Times New Roman"/>
      <family val="1"/>
    </font>
    <font>
      <sz val="13"/>
      <color rgb="FFFF0000"/>
      <name val="Times New Roman"/>
      <family val="1"/>
    </font>
    <font>
      <i/>
      <sz val="13"/>
      <name val="Times New Roman"/>
      <family val="1"/>
    </font>
    <font>
      <b/>
      <sz val="12"/>
      <color theme="1"/>
      <name val="Times New Roman"/>
      <family val="1"/>
    </font>
    <font>
      <b/>
      <sz val="13"/>
      <color theme="1"/>
      <name val="Times New Roman"/>
      <family val="1"/>
    </font>
    <font>
      <b/>
      <sz val="14"/>
      <color theme="1"/>
      <name val="Times New Roman"/>
      <family val="1"/>
    </font>
    <font>
      <sz val="13"/>
      <color theme="1"/>
      <name val="Times New Roman"/>
      <family val="1"/>
    </font>
    <font>
      <b/>
      <i/>
      <sz val="12"/>
      <name val="Times New Roman"/>
      <family val="1"/>
      <charset val="163"/>
    </font>
    <font>
      <i/>
      <sz val="10"/>
      <name val="Arial"/>
      <family val="2"/>
    </font>
    <font>
      <i/>
      <sz val="11"/>
      <name val="Arial"/>
      <family val="2"/>
    </font>
    <font>
      <b/>
      <sz val="11"/>
      <name val="Arial"/>
      <family val="2"/>
    </font>
    <font>
      <b/>
      <sz val="12"/>
      <name val="Arial"/>
      <family val="2"/>
    </font>
    <font>
      <sz val="12"/>
      <name val="Arial"/>
      <family val="2"/>
      <charset val="163"/>
    </font>
    <font>
      <b/>
      <i/>
      <sz val="9"/>
      <name val="Times New Roman"/>
      <family val="1"/>
      <charset val="163"/>
    </font>
    <font>
      <b/>
      <i/>
      <sz val="12"/>
      <name val="Arial"/>
      <family val="2"/>
    </font>
    <font>
      <b/>
      <i/>
      <sz val="10"/>
      <name val="Times New Roman"/>
      <family val="1"/>
    </font>
    <font>
      <b/>
      <i/>
      <sz val="9"/>
      <name val="Times New Roman"/>
      <family val="1"/>
    </font>
    <font>
      <b/>
      <i/>
      <sz val="10"/>
      <name val="Arial"/>
      <family val="2"/>
    </font>
    <font>
      <b/>
      <i/>
      <sz val="11"/>
      <name val="Times New Roman"/>
      <family val="1"/>
    </font>
    <font>
      <b/>
      <sz val="14"/>
      <color theme="1"/>
      <name val="Times New Roman"/>
      <family val="1"/>
      <charset val="163"/>
    </font>
    <font>
      <b/>
      <sz val="11"/>
      <color rgb="FFFF0000"/>
      <name val="Times New Roman"/>
      <family val="1"/>
    </font>
    <font>
      <b/>
      <sz val="11"/>
      <color rgb="FFFF0000"/>
      <name val="Times New Roman"/>
      <family val="1"/>
      <charset val="163"/>
    </font>
    <font>
      <b/>
      <sz val="10"/>
      <color rgb="FFFF0000"/>
      <name val="Arial"/>
      <family val="2"/>
    </font>
    <font>
      <b/>
      <sz val="11"/>
      <color indexed="8"/>
      <name val="Times New Roman"/>
      <family val="1"/>
    </font>
    <font>
      <b/>
      <sz val="12"/>
      <color theme="1"/>
      <name val="Times New Roman"/>
      <family val="1"/>
      <charset val="163"/>
    </font>
    <font>
      <i/>
      <sz val="12"/>
      <color theme="1"/>
      <name val="Times New Roman"/>
      <family val="1"/>
      <charset val="163"/>
    </font>
    <font>
      <b/>
      <sz val="13"/>
      <color theme="1"/>
      <name val="Times New Roman"/>
      <family val="1"/>
      <charset val="163"/>
    </font>
    <font>
      <sz val="12"/>
      <color theme="1"/>
      <name val="Times New Roman"/>
      <family val="1"/>
      <charset val="163"/>
    </font>
    <font>
      <sz val="12"/>
      <color rgb="FF000000"/>
      <name val="Times New Roman"/>
      <family val="1"/>
      <charset val="163"/>
    </font>
    <font>
      <sz val="13"/>
      <color theme="1"/>
      <name val="Times New Roman"/>
      <family val="1"/>
      <charset val="163"/>
    </font>
    <font>
      <b/>
      <sz val="13"/>
      <color indexed="8"/>
      <name val="Times New Roman"/>
      <family val="1"/>
    </font>
    <font>
      <b/>
      <sz val="12"/>
      <name val="Arial"/>
      <family val="2"/>
      <charset val="163"/>
    </font>
    <font>
      <sz val="12"/>
      <color rgb="FFFF0000"/>
      <name val="Arial"/>
      <family val="2"/>
      <charset val="163"/>
    </font>
    <font>
      <i/>
      <sz val="12"/>
      <color theme="1"/>
      <name val="Times New Roman"/>
      <family val="1"/>
    </font>
    <font>
      <i/>
      <sz val="11"/>
      <color indexed="8"/>
      <name val="times new roman"/>
      <family val="1"/>
    </font>
    <font>
      <i/>
      <sz val="11"/>
      <name val="Times New Roman"/>
      <family val="1"/>
    </font>
    <font>
      <sz val="8"/>
      <name val="Times New Roman"/>
      <family val="1"/>
      <charset val="163"/>
    </font>
    <font>
      <i/>
      <sz val="13"/>
      <color indexed="10"/>
      <name val="Times New Roman"/>
      <family val="1"/>
    </font>
    <font>
      <b/>
      <i/>
      <sz val="13"/>
      <name val="Times New Roman"/>
      <family val="1"/>
    </font>
    <font>
      <b/>
      <i/>
      <sz val="9"/>
      <name val="Arial"/>
      <family val="2"/>
    </font>
    <font>
      <b/>
      <i/>
      <sz val="8"/>
      <name val="Times New Roman"/>
      <family val="1"/>
    </font>
    <font>
      <sz val="8"/>
      <color rgb="FFFF0000"/>
      <name val="Times New Roman"/>
      <family val="1"/>
      <charset val="163"/>
    </font>
    <font>
      <sz val="11"/>
      <color rgb="FFFF0000"/>
      <name val="Times New Roman"/>
      <family val="1"/>
      <charset val="163"/>
    </font>
    <font>
      <i/>
      <sz val="14"/>
      <color theme="1"/>
      <name val="Times New Roman"/>
      <family val="1"/>
    </font>
    <font>
      <b/>
      <sz val="8"/>
      <color rgb="FFFF0000"/>
      <name val="Times New Roman"/>
      <family val="1"/>
    </font>
    <font>
      <b/>
      <sz val="10"/>
      <color rgb="FFFF0000"/>
      <name val="Times New Roman"/>
      <family val="1"/>
      <charset val="163"/>
    </font>
    <font>
      <sz val="12"/>
      <color indexed="8"/>
      <name val="Times New Roman"/>
      <family val="1"/>
    </font>
    <font>
      <i/>
      <sz val="10"/>
      <name val="Times New Roman"/>
      <family val="1"/>
    </font>
    <font>
      <b/>
      <sz val="10"/>
      <color rgb="FFFF0000"/>
      <name val="Times New Roman"/>
      <family val="1"/>
    </font>
  </fonts>
  <fills count="26">
    <fill>
      <patternFill patternType="none"/>
    </fill>
    <fill>
      <patternFill patternType="gray125"/>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s>
  <cellStyleXfs count="84">
    <xf numFmtId="0" fontId="0" fillId="0" borderId="0"/>
    <xf numFmtId="165" fontId="1" fillId="0" borderId="0" applyFont="0" applyFill="0" applyBorder="0" applyAlignment="0" applyProtection="0"/>
    <xf numFmtId="165" fontId="5" fillId="0" borderId="0" applyFont="0" applyFill="0" applyBorder="0" applyAlignment="0" applyProtection="0"/>
    <xf numFmtId="165" fontId="1" fillId="0" borderId="0" applyFont="0" applyFill="0" applyBorder="0" applyAlignment="0" applyProtection="0"/>
    <xf numFmtId="0" fontId="1" fillId="0" borderId="0"/>
    <xf numFmtId="165" fontId="5" fillId="0" borderId="0" applyFont="0" applyFill="0" applyBorder="0" applyAlignment="0" applyProtection="0"/>
    <xf numFmtId="0" fontId="5" fillId="0" borderId="0"/>
    <xf numFmtId="0" fontId="7" fillId="0" borderId="0"/>
    <xf numFmtId="0" fontId="5" fillId="0" borderId="0"/>
    <xf numFmtId="0" fontId="3" fillId="0" borderId="0"/>
    <xf numFmtId="165" fontId="7" fillId="0" borderId="0" applyFont="0" applyFill="0" applyBorder="0" applyAlignment="0" applyProtection="0"/>
    <xf numFmtId="0" fontId="20" fillId="0" borderId="0"/>
    <xf numFmtId="0" fontId="5" fillId="0" borderId="0"/>
    <xf numFmtId="0" fontId="5" fillId="0" borderId="0"/>
    <xf numFmtId="165" fontId="7" fillId="0" borderId="0" applyFont="0" applyFill="0" applyBorder="0" applyAlignment="0" applyProtection="0"/>
    <xf numFmtId="0" fontId="5" fillId="0" borderId="0"/>
    <xf numFmtId="0" fontId="7" fillId="0" borderId="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6" borderId="0" applyNumberFormat="0" applyBorder="0" applyAlignment="0" applyProtection="0"/>
    <xf numFmtId="0" fontId="38" fillId="9" borderId="0" applyNumberFormat="0" applyBorder="0" applyAlignment="0" applyProtection="0"/>
    <xf numFmtId="0" fontId="38" fillId="12" borderId="0" applyNumberFormat="0" applyBorder="0" applyAlignment="0" applyProtection="0"/>
    <xf numFmtId="0" fontId="39" fillId="13"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20" borderId="0" applyNumberFormat="0" applyBorder="0" applyAlignment="0" applyProtection="0"/>
    <xf numFmtId="0" fontId="40" fillId="4" borderId="0" applyNumberFormat="0" applyBorder="0" applyAlignment="0" applyProtection="0"/>
    <xf numFmtId="0" fontId="41" fillId="21" borderId="9" applyNumberFormat="0" applyAlignment="0" applyProtection="0"/>
    <xf numFmtId="0" fontId="42" fillId="22" borderId="10" applyNumberFormat="0" applyAlignment="0" applyProtection="0"/>
    <xf numFmtId="166" fontId="7"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7" fillId="0" borderId="0" applyFont="0" applyFill="0" applyBorder="0" applyAlignment="0" applyProtection="0"/>
    <xf numFmtId="0" fontId="43" fillId="0" borderId="0" applyNumberFormat="0" applyFill="0" applyBorder="0" applyAlignment="0" applyProtection="0"/>
    <xf numFmtId="0" fontId="44" fillId="5" borderId="0" applyNumberFormat="0" applyBorder="0" applyAlignment="0" applyProtection="0"/>
    <xf numFmtId="0" fontId="45" fillId="0" borderId="11" applyNumberFormat="0" applyFill="0" applyAlignment="0" applyProtection="0"/>
    <xf numFmtId="0" fontId="46" fillId="0" borderId="12" applyNumberFormat="0" applyFill="0" applyAlignment="0" applyProtection="0"/>
    <xf numFmtId="0" fontId="47" fillId="0" borderId="13" applyNumberFormat="0" applyFill="0" applyAlignment="0" applyProtection="0"/>
    <xf numFmtId="0" fontId="47" fillId="0" borderId="0" applyNumberFormat="0" applyFill="0" applyBorder="0" applyAlignment="0" applyProtection="0"/>
    <xf numFmtId="0" fontId="48" fillId="8" borderId="9" applyNumberFormat="0" applyAlignment="0" applyProtection="0"/>
    <xf numFmtId="0" fontId="49" fillId="0" borderId="14" applyNumberFormat="0" applyFill="0" applyAlignment="0" applyProtection="0"/>
    <xf numFmtId="0" fontId="50" fillId="23" borderId="0" applyNumberFormat="0" applyBorder="0" applyAlignment="0" applyProtection="0"/>
    <xf numFmtId="0" fontId="7" fillId="0" borderId="0"/>
    <xf numFmtId="0" fontId="2" fillId="0" borderId="0"/>
    <xf numFmtId="0" fontId="2" fillId="0" borderId="0"/>
    <xf numFmtId="0" fontId="5" fillId="0" borderId="0"/>
    <xf numFmtId="0" fontId="5" fillId="0" borderId="0"/>
    <xf numFmtId="0" fontId="4" fillId="0" borderId="0"/>
    <xf numFmtId="0" fontId="2" fillId="0" borderId="0"/>
    <xf numFmtId="0" fontId="3" fillId="0" borderId="0"/>
    <xf numFmtId="0" fontId="56" fillId="0" borderId="0"/>
    <xf numFmtId="0" fontId="51" fillId="0" borderId="0"/>
    <xf numFmtId="0" fontId="51" fillId="0" borderId="0"/>
    <xf numFmtId="0" fontId="5" fillId="24" borderId="15" applyNumberFormat="0" applyFont="0" applyAlignment="0" applyProtection="0"/>
    <xf numFmtId="0" fontId="52" fillId="21" borderId="16" applyNumberFormat="0" applyAlignment="0" applyProtection="0"/>
    <xf numFmtId="9" fontId="7" fillId="0" borderId="0" applyFont="0" applyFill="0" applyBorder="0" applyAlignment="0" applyProtection="0"/>
    <xf numFmtId="0" fontId="53" fillId="0" borderId="0" applyNumberFormat="0" applyFill="0" applyBorder="0" applyAlignment="0" applyProtection="0"/>
    <xf numFmtId="0" fontId="54" fillId="0" borderId="17" applyNumberFormat="0" applyFill="0" applyAlignment="0" applyProtection="0"/>
    <xf numFmtId="0" fontId="55" fillId="0" borderId="0" applyNumberFormat="0" applyFill="0" applyBorder="0" applyAlignment="0" applyProtection="0"/>
    <xf numFmtId="0" fontId="56" fillId="0" borderId="0"/>
    <xf numFmtId="165" fontId="57" fillId="0" borderId="0" applyFont="0" applyFill="0" applyBorder="0" applyAlignment="0" applyProtection="0"/>
    <xf numFmtId="0" fontId="57" fillId="0" borderId="0"/>
    <xf numFmtId="165" fontId="1" fillId="0" borderId="0" applyFont="0" applyFill="0" applyBorder="0" applyAlignment="0" applyProtection="0"/>
    <xf numFmtId="165" fontId="58" fillId="0" borderId="0" applyFont="0" applyFill="0" applyBorder="0" applyAlignment="0" applyProtection="0"/>
    <xf numFmtId="0" fontId="1" fillId="0" borderId="0"/>
    <xf numFmtId="165" fontId="1"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cellStyleXfs>
  <cellXfs count="713">
    <xf numFmtId="0" fontId="0" fillId="0" borderId="0" xfId="0"/>
    <xf numFmtId="0" fontId="2" fillId="0" borderId="0" xfId="6" applyFont="1" applyFill="1"/>
    <xf numFmtId="167" fontId="25" fillId="0" borderId="0" xfId="1" applyNumberFormat="1" applyFont="1" applyFill="1" applyBorder="1" applyAlignment="1">
      <alignment horizontal="center" vertical="center" wrapText="1"/>
    </xf>
    <xf numFmtId="167" fontId="25" fillId="0" borderId="0" xfId="1" applyNumberFormat="1" applyFont="1" applyFill="1" applyBorder="1" applyAlignment="1">
      <alignment vertical="center" wrapText="1"/>
    </xf>
    <xf numFmtId="167" fontId="27" fillId="0" borderId="0" xfId="1" applyNumberFormat="1" applyFont="1" applyFill="1" applyBorder="1" applyAlignment="1">
      <alignment vertical="center" wrapText="1"/>
    </xf>
    <xf numFmtId="167" fontId="2" fillId="0" borderId="0" xfId="1" applyNumberFormat="1" applyFont="1" applyFill="1" applyBorder="1" applyAlignment="1">
      <alignment vertical="center" wrapText="1"/>
    </xf>
    <xf numFmtId="167" fontId="28" fillId="0" borderId="0" xfId="1" applyNumberFormat="1" applyFont="1" applyFill="1" applyBorder="1" applyAlignment="1">
      <alignment vertical="center"/>
    </xf>
    <xf numFmtId="167" fontId="29" fillId="0" borderId="0" xfId="1" applyNumberFormat="1" applyFont="1" applyFill="1" applyBorder="1" applyAlignment="1">
      <alignment vertical="center"/>
    </xf>
    <xf numFmtId="0" fontId="31" fillId="0" borderId="0" xfId="6" applyFont="1" applyFill="1"/>
    <xf numFmtId="0" fontId="2" fillId="0" borderId="0" xfId="6" applyFont="1" applyFill="1" applyAlignment="1">
      <alignment horizontal="center"/>
    </xf>
    <xf numFmtId="0" fontId="21" fillId="0" borderId="0" xfId="6" applyFont="1" applyFill="1"/>
    <xf numFmtId="1" fontId="8" fillId="0" borderId="1" xfId="0" applyNumberFormat="1" applyFont="1" applyFill="1" applyBorder="1" applyAlignment="1">
      <alignment horizontal="center" vertical="center"/>
    </xf>
    <xf numFmtId="0" fontId="8" fillId="0" borderId="1" xfId="0" applyFont="1" applyFill="1" applyBorder="1" applyAlignment="1">
      <alignment horizontal="center" vertical="center" wrapText="1"/>
    </xf>
    <xf numFmtId="0" fontId="17" fillId="0" borderId="1" xfId="0" applyFont="1" applyFill="1" applyBorder="1" applyAlignment="1">
      <alignment vertical="center" wrapText="1"/>
    </xf>
    <xf numFmtId="1" fontId="17" fillId="0" borderId="1" xfId="8" applyNumberFormat="1" applyFont="1" applyFill="1" applyBorder="1" applyAlignment="1">
      <alignment horizontal="left" vertical="center" wrapText="1"/>
    </xf>
    <xf numFmtId="0" fontId="17" fillId="0" borderId="1" xfId="9" applyFont="1" applyFill="1" applyBorder="1" applyAlignment="1">
      <alignment horizontal="center" vertical="center" wrapText="1"/>
    </xf>
    <xf numFmtId="0" fontId="14" fillId="0" borderId="0" xfId="0" applyFont="1" applyFill="1"/>
    <xf numFmtId="0" fontId="1" fillId="0" borderId="0" xfId="0" applyFont="1" applyFill="1"/>
    <xf numFmtId="0" fontId="17" fillId="0" borderId="1" xfId="0" applyFont="1" applyFill="1" applyBorder="1" applyAlignment="1">
      <alignment horizontal="center" vertical="center" wrapText="1"/>
    </xf>
    <xf numFmtId="167" fontId="14" fillId="0" borderId="0" xfId="0" applyNumberFormat="1" applyFont="1" applyFill="1"/>
    <xf numFmtId="1" fontId="2" fillId="0" borderId="1" xfId="0" applyNumberFormat="1" applyFont="1" applyFill="1" applyBorder="1" applyAlignment="1">
      <alignment horizontal="center" vertical="center"/>
    </xf>
    <xf numFmtId="0" fontId="4" fillId="0" borderId="1" xfId="66" applyFont="1" applyFill="1" applyBorder="1" applyAlignment="1">
      <alignment horizontal="left" vertical="center" wrapText="1"/>
    </xf>
    <xf numFmtId="0" fontId="4" fillId="0" borderId="1" xfId="0" applyFont="1" applyFill="1" applyBorder="1" applyAlignment="1">
      <alignment horizontal="center" vertical="center" wrapText="1"/>
    </xf>
    <xf numFmtId="0" fontId="0" fillId="0" borderId="0" xfId="0" applyFill="1"/>
    <xf numFmtId="167" fontId="2" fillId="0" borderId="1" xfId="46" applyNumberFormat="1" applyFont="1" applyFill="1" applyBorder="1" applyAlignment="1">
      <alignment horizontal="left" vertical="center" wrapText="1"/>
    </xf>
    <xf numFmtId="167" fontId="6" fillId="0" borderId="1" xfId="46" applyNumberFormat="1" applyFont="1" applyFill="1" applyBorder="1" applyAlignment="1">
      <alignment horizontal="left" vertical="center" wrapText="1"/>
    </xf>
    <xf numFmtId="0" fontId="12" fillId="0" borderId="1" xfId="0" applyFont="1" applyFill="1" applyBorder="1" applyAlignment="1">
      <alignment horizontal="center" vertical="center" wrapText="1"/>
    </xf>
    <xf numFmtId="3" fontId="12" fillId="0" borderId="1" xfId="0" applyNumberFormat="1" applyFont="1" applyFill="1" applyBorder="1" applyAlignment="1">
      <alignment horizontal="right" vertical="center"/>
    </xf>
    <xf numFmtId="0" fontId="12" fillId="0" borderId="0" xfId="0" applyFont="1" applyFill="1"/>
    <xf numFmtId="1" fontId="17" fillId="0" borderId="1" xfId="0" applyNumberFormat="1" applyFont="1" applyFill="1" applyBorder="1" applyAlignment="1">
      <alignment horizontal="center" vertical="center"/>
    </xf>
    <xf numFmtId="0" fontId="2" fillId="0" borderId="1" xfId="0" applyFont="1" applyFill="1" applyBorder="1" applyAlignment="1">
      <alignment horizontal="left" vertical="center" wrapText="1"/>
    </xf>
    <xf numFmtId="167" fontId="2" fillId="0" borderId="1" xfId="1" applyNumberFormat="1" applyFont="1" applyFill="1" applyBorder="1" applyAlignment="1">
      <alignment horizontal="right" vertical="center" wrapText="1"/>
    </xf>
    <xf numFmtId="0" fontId="2" fillId="0" borderId="0" xfId="0" applyFont="1" applyFill="1"/>
    <xf numFmtId="0" fontId="17" fillId="0" borderId="0" xfId="6" applyFont="1" applyFill="1"/>
    <xf numFmtId="0" fontId="2" fillId="0" borderId="1" xfId="6" applyFont="1" applyFill="1" applyBorder="1" applyAlignment="1">
      <alignment horizontal="left" vertical="center" wrapText="1"/>
    </xf>
    <xf numFmtId="167" fontId="17" fillId="0" borderId="1" xfId="5" applyNumberFormat="1" applyFont="1" applyFill="1" applyBorder="1" applyAlignment="1">
      <alignment horizontal="right" vertical="center" wrapText="1"/>
    </xf>
    <xf numFmtId="0" fontId="2" fillId="0" borderId="1" xfId="11" applyFont="1" applyFill="1" applyBorder="1" applyAlignment="1">
      <alignment horizontal="left" vertical="center" wrapText="1"/>
    </xf>
    <xf numFmtId="1" fontId="32" fillId="0" borderId="1" xfId="8" applyNumberFormat="1" applyFont="1" applyFill="1" applyBorder="1" applyAlignment="1">
      <alignment horizontal="left" vertical="center" wrapText="1"/>
    </xf>
    <xf numFmtId="167" fontId="33" fillId="0" borderId="1" xfId="0" applyNumberFormat="1" applyFont="1" applyFill="1" applyBorder="1" applyAlignment="1">
      <alignment horizontal="center" vertical="center"/>
    </xf>
    <xf numFmtId="0" fontId="18"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33" fillId="0" borderId="1" xfId="0" applyFont="1" applyFill="1" applyBorder="1" applyAlignment="1">
      <alignment horizontal="center" vertical="center"/>
    </xf>
    <xf numFmtId="0" fontId="37" fillId="0" borderId="1" xfId="0" applyFont="1" applyFill="1" applyBorder="1" applyAlignment="1">
      <alignment horizontal="center" vertical="center" wrapText="1"/>
    </xf>
    <xf numFmtId="0" fontId="18" fillId="0" borderId="1" xfId="0" quotePrefix="1" applyFont="1" applyFill="1" applyBorder="1" applyAlignment="1">
      <alignment horizontal="center" vertical="center" wrapText="1"/>
    </xf>
    <xf numFmtId="0" fontId="33" fillId="0" borderId="1" xfId="0" quotePrefix="1" applyFont="1" applyFill="1" applyBorder="1" applyAlignment="1">
      <alignment horizontal="center" vertical="center" wrapText="1"/>
    </xf>
    <xf numFmtId="0" fontId="12" fillId="0" borderId="0" xfId="6" applyFont="1" applyFill="1"/>
    <xf numFmtId="167" fontId="22" fillId="0" borderId="0" xfId="0" applyNumberFormat="1" applyFont="1" applyFill="1"/>
    <xf numFmtId="167" fontId="16" fillId="0" borderId="1" xfId="1" applyNumberFormat="1" applyFont="1" applyFill="1" applyBorder="1" applyAlignment="1">
      <alignment horizontal="right" vertical="center" wrapText="1"/>
    </xf>
    <xf numFmtId="165" fontId="12" fillId="0" borderId="1" xfId="1" applyFont="1" applyFill="1" applyBorder="1" applyAlignment="1">
      <alignment horizontal="right" vertical="center" wrapText="1"/>
    </xf>
    <xf numFmtId="167" fontId="12" fillId="0" borderId="1" xfId="1" applyNumberFormat="1" applyFont="1" applyFill="1" applyBorder="1" applyAlignment="1">
      <alignment horizontal="right" vertical="center" wrapText="1"/>
    </xf>
    <xf numFmtId="0" fontId="8"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2" fontId="2" fillId="0" borderId="1" xfId="7" applyNumberFormat="1" applyFont="1" applyFill="1" applyBorder="1" applyAlignment="1">
      <alignment vertical="center" wrapText="1"/>
    </xf>
    <xf numFmtId="0" fontId="2" fillId="0" borderId="1" xfId="6" applyFont="1" applyFill="1" applyBorder="1" applyAlignment="1">
      <alignment horizontal="center" vertical="center" wrapText="1"/>
    </xf>
    <xf numFmtId="0" fontId="11"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13" fillId="0" borderId="0" xfId="0" applyFont="1" applyFill="1"/>
    <xf numFmtId="0" fontId="24" fillId="0" borderId="0" xfId="0" applyFont="1" applyFill="1"/>
    <xf numFmtId="0" fontId="12" fillId="0" borderId="1" xfId="0" applyFont="1" applyFill="1" applyBorder="1" applyAlignment="1">
      <alignment horizontal="left" vertical="center" wrapText="1"/>
    </xf>
    <xf numFmtId="0" fontId="8" fillId="0" borderId="1" xfId="9" applyFont="1" applyFill="1" applyBorder="1" applyAlignment="1">
      <alignment horizontal="left" vertical="center" wrapText="1"/>
    </xf>
    <xf numFmtId="0" fontId="2" fillId="0" borderId="1" xfId="0" applyFont="1" applyFill="1" applyBorder="1" applyAlignment="1">
      <alignment horizontal="center" vertical="center" wrapText="1"/>
    </xf>
    <xf numFmtId="1" fontId="4" fillId="0" borderId="1" xfId="8" applyNumberFormat="1" applyFont="1" applyFill="1" applyBorder="1" applyAlignment="1">
      <alignment horizontal="left" vertical="center" wrapText="1"/>
    </xf>
    <xf numFmtId="167" fontId="4" fillId="0" borderId="1" xfId="5" applyNumberFormat="1" applyFont="1" applyFill="1" applyBorder="1" applyAlignment="1">
      <alignment horizontal="right" vertical="center" wrapText="1"/>
    </xf>
    <xf numFmtId="3" fontId="4" fillId="0" borderId="1" xfId="8" quotePrefix="1" applyNumberFormat="1" applyFont="1" applyFill="1" applyBorder="1" applyAlignment="1">
      <alignment horizontal="right" vertical="center" wrapText="1"/>
    </xf>
    <xf numFmtId="167" fontId="8" fillId="0" borderId="1" xfId="5" applyNumberFormat="1" applyFont="1" applyFill="1" applyBorder="1" applyAlignment="1">
      <alignment horizontal="right" vertical="center" wrapText="1"/>
    </xf>
    <xf numFmtId="164" fontId="4" fillId="0" borderId="1" xfId="5" quotePrefix="1" applyNumberFormat="1" applyFont="1" applyFill="1" applyBorder="1" applyAlignment="1">
      <alignment horizontal="right" vertical="center" wrapText="1"/>
    </xf>
    <xf numFmtId="0" fontId="8" fillId="0" borderId="1" xfId="13" applyFont="1" applyFill="1" applyBorder="1" applyAlignment="1">
      <alignment horizontal="left" vertical="center" wrapText="1"/>
    </xf>
    <xf numFmtId="0" fontId="17" fillId="0" borderId="1" xfId="6" applyFont="1" applyFill="1" applyBorder="1" applyAlignment="1">
      <alignment horizontal="center" vertical="center" wrapText="1"/>
    </xf>
    <xf numFmtId="0" fontId="4" fillId="0" borderId="1" xfId="13" applyFont="1" applyFill="1" applyBorder="1" applyAlignment="1">
      <alignment horizontal="left" vertical="center" wrapText="1"/>
    </xf>
    <xf numFmtId="164" fontId="4" fillId="0" borderId="1" xfId="1" applyNumberFormat="1" applyFont="1" applyFill="1" applyBorder="1" applyAlignment="1">
      <alignment horizontal="right" vertical="center" wrapText="1"/>
    </xf>
    <xf numFmtId="167" fontId="4" fillId="0" borderId="1" xfId="1" applyNumberFormat="1" applyFont="1" applyFill="1" applyBorder="1" applyAlignment="1">
      <alignment horizontal="right" vertical="center" wrapText="1"/>
    </xf>
    <xf numFmtId="167" fontId="8" fillId="0" borderId="1" xfId="1" applyNumberFormat="1" applyFont="1" applyFill="1" applyBorder="1" applyAlignment="1">
      <alignment horizontal="right" vertical="center" wrapText="1"/>
    </xf>
    <xf numFmtId="0" fontId="19" fillId="0" borderId="0" xfId="0" applyFont="1" applyFill="1"/>
    <xf numFmtId="167" fontId="11" fillId="0" borderId="1" xfId="1" applyNumberFormat="1" applyFont="1" applyFill="1" applyBorder="1" applyAlignment="1">
      <alignment horizontal="right" vertical="center" wrapText="1"/>
    </xf>
    <xf numFmtId="164" fontId="11" fillId="0" borderId="1" xfId="1" applyNumberFormat="1" applyFont="1" applyFill="1" applyBorder="1" applyAlignment="1">
      <alignment horizontal="right" vertical="center" wrapText="1"/>
    </xf>
    <xf numFmtId="0" fontId="8" fillId="0" borderId="3" xfId="0" applyFont="1" applyFill="1" applyBorder="1" applyAlignment="1">
      <alignment horizontal="left" vertical="center" wrapText="1"/>
    </xf>
    <xf numFmtId="167" fontId="17" fillId="0" borderId="1" xfId="1" applyNumberFormat="1" applyFont="1" applyFill="1" applyBorder="1" applyAlignment="1">
      <alignment horizontal="right" vertical="center" wrapText="1"/>
    </xf>
    <xf numFmtId="167" fontId="15" fillId="0" borderId="1" xfId="1" applyNumberFormat="1" applyFont="1" applyFill="1" applyBorder="1" applyAlignment="1">
      <alignment horizontal="right" vertical="center" wrapText="1"/>
    </xf>
    <xf numFmtId="164" fontId="12" fillId="0" borderId="1" xfId="1" applyNumberFormat="1" applyFont="1" applyFill="1" applyBorder="1" applyAlignment="1">
      <alignment horizontal="right" vertical="center" wrapText="1"/>
    </xf>
    <xf numFmtId="1" fontId="12" fillId="0" borderId="1" xfId="8" applyNumberFormat="1" applyFont="1" applyFill="1" applyBorder="1" applyAlignment="1">
      <alignment horizontal="left" vertical="center" wrapText="1"/>
    </xf>
    <xf numFmtId="0" fontId="12" fillId="0" borderId="1" xfId="9" applyFont="1" applyFill="1" applyBorder="1" applyAlignment="1">
      <alignment horizontal="center" vertical="center" wrapText="1"/>
    </xf>
    <xf numFmtId="1" fontId="11" fillId="0" borderId="1" xfId="0" applyNumberFormat="1" applyFont="1" applyFill="1" applyBorder="1" applyAlignment="1">
      <alignment horizontal="center" vertical="center"/>
    </xf>
    <xf numFmtId="0" fontId="12" fillId="0" borderId="1" xfId="7" applyFont="1" applyFill="1" applyBorder="1" applyAlignment="1">
      <alignment horizontal="center" vertical="center" wrapText="1"/>
    </xf>
    <xf numFmtId="167" fontId="12" fillId="0" borderId="1" xfId="2" applyNumberFormat="1" applyFont="1" applyFill="1" applyBorder="1" applyAlignment="1">
      <alignment horizontal="right" vertical="center" wrapText="1"/>
    </xf>
    <xf numFmtId="167" fontId="12" fillId="0" borderId="1" xfId="2" applyNumberFormat="1" applyFont="1" applyFill="1" applyBorder="1" applyAlignment="1">
      <alignment horizontal="right" vertical="center"/>
    </xf>
    <xf numFmtId="0" fontId="12" fillId="0" borderId="1" xfId="6" applyFont="1" applyFill="1" applyBorder="1" applyAlignment="1">
      <alignment horizontal="right" vertical="center"/>
    </xf>
    <xf numFmtId="0" fontId="17" fillId="0" borderId="0" xfId="0" applyFont="1" applyFill="1"/>
    <xf numFmtId="1" fontId="12" fillId="0" borderId="1" xfId="8" quotePrefix="1" applyNumberFormat="1" applyFont="1" applyFill="1" applyBorder="1" applyAlignment="1">
      <alignment horizontal="left" vertical="center" wrapText="1"/>
    </xf>
    <xf numFmtId="3" fontId="12" fillId="0" borderId="1" xfId="8" quotePrefix="1" applyNumberFormat="1" applyFont="1" applyFill="1" applyBorder="1" applyAlignment="1">
      <alignment horizontal="right" vertical="center" wrapText="1"/>
    </xf>
    <xf numFmtId="164" fontId="12" fillId="0" borderId="1" xfId="1" quotePrefix="1" applyNumberFormat="1" applyFont="1" applyFill="1" applyBorder="1" applyAlignment="1">
      <alignment horizontal="right" vertical="center" wrapText="1"/>
    </xf>
    <xf numFmtId="0" fontId="69" fillId="0" borderId="0" xfId="0" applyFont="1" applyFill="1"/>
    <xf numFmtId="0" fontId="11" fillId="0" borderId="1" xfId="0" applyFont="1" applyFill="1" applyBorder="1" applyAlignment="1">
      <alignment horizontal="right" vertical="center" wrapText="1"/>
    </xf>
    <xf numFmtId="1" fontId="4" fillId="0" borderId="1" xfId="0" applyNumberFormat="1" applyFont="1" applyFill="1" applyBorder="1" applyAlignment="1">
      <alignment horizontal="center" vertical="center"/>
    </xf>
    <xf numFmtId="0" fontId="9" fillId="0" borderId="1" xfId="9" applyFont="1" applyFill="1" applyBorder="1" applyAlignment="1">
      <alignment horizontal="center" vertical="center" wrapText="1"/>
    </xf>
    <xf numFmtId="2" fontId="9" fillId="0" borderId="1" xfId="5" applyNumberFormat="1" applyFont="1" applyFill="1" applyBorder="1" applyAlignment="1">
      <alignment vertical="center" wrapText="1"/>
    </xf>
    <xf numFmtId="0" fontId="9" fillId="0" borderId="1" xfId="0" applyFont="1" applyFill="1" applyBorder="1" applyAlignment="1">
      <alignment horizontal="right" vertical="center"/>
    </xf>
    <xf numFmtId="0" fontId="9" fillId="0" borderId="1" xfId="6" applyFont="1" applyFill="1" applyBorder="1" applyAlignment="1">
      <alignment horizontal="right" vertical="center" wrapText="1"/>
    </xf>
    <xf numFmtId="167" fontId="10" fillId="0" borderId="1" xfId="1" applyNumberFormat="1" applyFont="1" applyFill="1" applyBorder="1" applyAlignment="1">
      <alignment horizontal="right" vertical="center" wrapText="1"/>
    </xf>
    <xf numFmtId="167" fontId="10" fillId="0" borderId="1" xfId="2" applyNumberFormat="1" applyFont="1" applyFill="1" applyBorder="1" applyAlignment="1">
      <alignment horizontal="right" vertical="center" wrapText="1"/>
    </xf>
    <xf numFmtId="0" fontId="6" fillId="0" borderId="0" xfId="6" applyFont="1" applyFill="1"/>
    <xf numFmtId="167" fontId="6" fillId="0" borderId="1" xfId="5" applyNumberFormat="1" applyFont="1" applyFill="1" applyBorder="1" applyAlignment="1">
      <alignment horizontal="center" vertical="center" wrapText="1"/>
    </xf>
    <xf numFmtId="0" fontId="6" fillId="0" borderId="1" xfId="6" applyFont="1" applyFill="1" applyBorder="1" applyAlignment="1">
      <alignment horizontal="left" wrapText="1"/>
    </xf>
    <xf numFmtId="0" fontId="6" fillId="0" borderId="1" xfId="6" applyFont="1" applyFill="1" applyBorder="1" applyAlignment="1">
      <alignment horizontal="left" vertical="center" wrapText="1"/>
    </xf>
    <xf numFmtId="0" fontId="6" fillId="0" borderId="1" xfId="11" applyFont="1" applyFill="1" applyBorder="1" applyAlignment="1">
      <alignment horizontal="left" vertical="center" wrapText="1"/>
    </xf>
    <xf numFmtId="0" fontId="79" fillId="0" borderId="1" xfId="0" applyFont="1" applyFill="1" applyBorder="1" applyAlignment="1">
      <alignment horizontal="left" vertical="center" wrapText="1"/>
    </xf>
    <xf numFmtId="0" fontId="75" fillId="0" borderId="0" xfId="6" applyFont="1" applyFill="1"/>
    <xf numFmtId="0" fontId="74" fillId="0" borderId="0" xfId="6" applyFont="1" applyFill="1"/>
    <xf numFmtId="0" fontId="18" fillId="0" borderId="0" xfId="0" applyFont="1" applyFill="1" applyBorder="1" applyAlignment="1">
      <alignment horizontal="center" vertical="center" wrapText="1"/>
    </xf>
    <xf numFmtId="1" fontId="28" fillId="0" borderId="1" xfId="0" applyNumberFormat="1" applyFont="1" applyFill="1" applyBorder="1" applyAlignment="1">
      <alignment horizontal="center" vertical="center"/>
    </xf>
    <xf numFmtId="167" fontId="80" fillId="0" borderId="1" xfId="0" applyNumberFormat="1" applyFont="1" applyFill="1" applyBorder="1" applyAlignment="1">
      <alignment horizontal="center" vertical="center" wrapText="1"/>
    </xf>
    <xf numFmtId="0" fontId="63" fillId="0" borderId="1" xfId="0" applyFont="1" applyFill="1" applyBorder="1" applyAlignment="1">
      <alignment horizontal="center" vertical="center" wrapText="1"/>
    </xf>
    <xf numFmtId="0" fontId="81" fillId="0" borderId="0" xfId="0" applyFont="1" applyFill="1"/>
    <xf numFmtId="167" fontId="17" fillId="0" borderId="1" xfId="46" applyNumberFormat="1" applyFont="1" applyFill="1" applyBorder="1" applyAlignment="1">
      <alignment horizontal="left" vertical="center" wrapText="1"/>
    </xf>
    <xf numFmtId="0" fontId="64" fillId="0" borderId="0" xfId="0" applyFont="1" applyFill="1"/>
    <xf numFmtId="0" fontId="18" fillId="0" borderId="0" xfId="0" applyFont="1" applyFill="1"/>
    <xf numFmtId="0" fontId="32" fillId="0" borderId="1" xfId="63" applyFont="1" applyFill="1" applyBorder="1" applyAlignment="1">
      <alignment horizontal="center" vertical="center" wrapText="1"/>
    </xf>
    <xf numFmtId="0" fontId="71" fillId="0" borderId="0" xfId="0" applyFont="1" applyFill="1"/>
    <xf numFmtId="0" fontId="72" fillId="0" borderId="0" xfId="0" applyFont="1" applyFill="1"/>
    <xf numFmtId="0" fontId="62" fillId="0" borderId="1" xfId="9" applyFont="1" applyFill="1" applyBorder="1" applyAlignment="1">
      <alignment horizontal="center" vertical="center" wrapText="1"/>
    </xf>
    <xf numFmtId="0" fontId="62" fillId="0" borderId="1" xfId="0" applyFont="1" applyFill="1" applyBorder="1" applyAlignment="1">
      <alignment horizontal="right" vertical="center"/>
    </xf>
    <xf numFmtId="0" fontId="66" fillId="0" borderId="1" xfId="0" applyFont="1" applyFill="1" applyBorder="1" applyAlignment="1">
      <alignment horizontal="center" vertical="center" wrapText="1"/>
    </xf>
    <xf numFmtId="0" fontId="62" fillId="0" borderId="1" xfId="0" applyFont="1" applyFill="1" applyBorder="1" applyAlignment="1">
      <alignment horizontal="right" vertical="center" wrapText="1"/>
    </xf>
    <xf numFmtId="167" fontId="2" fillId="0" borderId="1" xfId="78" applyNumberFormat="1" applyFont="1" applyFill="1" applyBorder="1" applyAlignment="1">
      <alignment vertical="center" wrapText="1"/>
    </xf>
    <xf numFmtId="167" fontId="2" fillId="0" borderId="1" xfId="78" applyNumberFormat="1" applyFont="1" applyFill="1" applyBorder="1" applyAlignment="1">
      <alignment horizontal="center" vertical="center" wrapText="1"/>
    </xf>
    <xf numFmtId="167" fontId="17" fillId="0" borderId="1" xfId="78" applyNumberFormat="1" applyFont="1" applyFill="1" applyBorder="1" applyAlignment="1">
      <alignment horizontal="center" vertical="center" wrapText="1"/>
    </xf>
    <xf numFmtId="167" fontId="28" fillId="0" borderId="1" xfId="78" applyNumberFormat="1" applyFont="1" applyFill="1" applyBorder="1" applyAlignment="1">
      <alignment vertical="center" wrapText="1"/>
    </xf>
    <xf numFmtId="167" fontId="28" fillId="0" borderId="1" xfId="78" applyNumberFormat="1" applyFont="1" applyFill="1" applyBorder="1" applyAlignment="1">
      <alignment horizontal="center" vertical="center" wrapText="1"/>
    </xf>
    <xf numFmtId="0" fontId="2" fillId="0" borderId="1" xfId="77" applyFont="1" applyFill="1" applyBorder="1" applyAlignment="1">
      <alignment horizontal="left" vertical="center" wrapText="1"/>
    </xf>
    <xf numFmtId="167" fontId="4" fillId="0" borderId="5" xfId="1" applyNumberFormat="1" applyFont="1" applyFill="1" applyBorder="1" applyAlignment="1">
      <alignment horizontal="right" vertical="center" wrapText="1"/>
    </xf>
    <xf numFmtId="167" fontId="2" fillId="0" borderId="1" xfId="78" applyNumberFormat="1" applyFont="1" applyFill="1" applyBorder="1" applyAlignment="1">
      <alignment horizontal="right" vertical="center" wrapText="1"/>
    </xf>
    <xf numFmtId="167" fontId="8" fillId="0" borderId="1" xfId="78" applyNumberFormat="1" applyFont="1" applyFill="1" applyBorder="1" applyAlignment="1">
      <alignment horizontal="right" vertical="center" wrapText="1"/>
    </xf>
    <xf numFmtId="164" fontId="2" fillId="0" borderId="1" xfId="78" applyNumberFormat="1" applyFont="1" applyFill="1" applyBorder="1" applyAlignment="1">
      <alignment horizontal="right" vertical="center" wrapText="1"/>
    </xf>
    <xf numFmtId="1" fontId="11" fillId="0" borderId="1" xfId="8" applyNumberFormat="1" applyFont="1" applyFill="1" applyBorder="1" applyAlignment="1">
      <alignment horizontal="left" vertical="center" wrapText="1"/>
    </xf>
    <xf numFmtId="3" fontId="11" fillId="0" borderId="1" xfId="8" quotePrefix="1" applyNumberFormat="1" applyFont="1" applyFill="1" applyBorder="1" applyAlignment="1">
      <alignment horizontal="right" vertical="center" wrapText="1"/>
    </xf>
    <xf numFmtId="167" fontId="15" fillId="0" borderId="1" xfId="5" applyNumberFormat="1" applyFont="1" applyFill="1" applyBorder="1" applyAlignment="1">
      <alignment horizontal="right" vertical="center" wrapText="1"/>
    </xf>
    <xf numFmtId="167" fontId="12" fillId="0" borderId="1" xfId="5" applyNumberFormat="1" applyFont="1" applyFill="1" applyBorder="1" applyAlignment="1">
      <alignment horizontal="right" vertical="center" wrapText="1"/>
    </xf>
    <xf numFmtId="164" fontId="11" fillId="0" borderId="1" xfId="5" quotePrefix="1" applyNumberFormat="1" applyFont="1" applyFill="1" applyBorder="1" applyAlignment="1">
      <alignment horizontal="right" vertical="center" wrapText="1"/>
    </xf>
    <xf numFmtId="167" fontId="11" fillId="0" borderId="1" xfId="5" applyNumberFormat="1" applyFont="1" applyFill="1" applyBorder="1" applyAlignment="1">
      <alignment horizontal="right" vertical="center" wrapText="1"/>
    </xf>
    <xf numFmtId="0" fontId="68" fillId="0" borderId="1" xfId="0" applyFont="1" applyFill="1" applyBorder="1" applyAlignment="1">
      <alignment horizontal="center" vertical="center" wrapText="1"/>
    </xf>
    <xf numFmtId="0" fontId="68" fillId="0" borderId="1" xfId="0" applyFont="1" applyFill="1" applyBorder="1" applyAlignment="1">
      <alignment horizontal="center" vertical="center"/>
    </xf>
    <xf numFmtId="0" fontId="60" fillId="0" borderId="1" xfId="0" applyFont="1" applyFill="1" applyBorder="1" applyAlignment="1">
      <alignment horizontal="center" vertical="center" wrapText="1"/>
    </xf>
    <xf numFmtId="167" fontId="33" fillId="0" borderId="0" xfId="78" applyNumberFormat="1" applyFont="1" applyFill="1" applyBorder="1" applyAlignment="1">
      <alignment vertical="center"/>
    </xf>
    <xf numFmtId="167" fontId="2" fillId="0" borderId="0" xfId="78" applyNumberFormat="1" applyFont="1" applyFill="1" applyBorder="1" applyAlignment="1">
      <alignment vertical="center" wrapText="1"/>
    </xf>
    <xf numFmtId="167" fontId="63" fillId="0" borderId="0" xfId="78" applyNumberFormat="1" applyFont="1" applyFill="1" applyBorder="1" applyAlignment="1">
      <alignment vertical="center"/>
    </xf>
    <xf numFmtId="167" fontId="18" fillId="0" borderId="0" xfId="78" applyNumberFormat="1" applyFont="1" applyFill="1" applyBorder="1" applyAlignment="1">
      <alignment horizontal="left" vertical="center" wrapText="1"/>
    </xf>
    <xf numFmtId="167" fontId="25" fillId="0" borderId="0" xfId="78" applyNumberFormat="1" applyFont="1" applyFill="1" applyBorder="1" applyAlignment="1">
      <alignment vertical="center" wrapText="1"/>
    </xf>
    <xf numFmtId="167" fontId="25" fillId="0" borderId="0" xfId="78" applyNumberFormat="1" applyFont="1" applyFill="1" applyBorder="1" applyAlignment="1">
      <alignment horizontal="center" vertical="center" wrapText="1"/>
    </xf>
    <xf numFmtId="167" fontId="29" fillId="0" borderId="0" xfId="78" applyNumberFormat="1" applyFont="1" applyFill="1" applyBorder="1" applyAlignment="1">
      <alignment horizontal="center" vertical="center" wrapText="1"/>
    </xf>
    <xf numFmtId="167" fontId="17" fillId="0" borderId="1" xfId="78" applyNumberFormat="1" applyFont="1" applyFill="1" applyBorder="1" applyAlignment="1">
      <alignment vertical="center" wrapText="1"/>
    </xf>
    <xf numFmtId="167" fontId="82" fillId="0" borderId="0" xfId="0" applyNumberFormat="1" applyFont="1" applyFill="1"/>
    <xf numFmtId="0" fontId="63" fillId="0" borderId="1" xfId="0" quotePrefix="1" applyFont="1" applyFill="1" applyBorder="1" applyAlignment="1">
      <alignment horizontal="center" vertical="center" wrapText="1"/>
    </xf>
    <xf numFmtId="0" fontId="33" fillId="0" borderId="1" xfId="0" applyFont="1" applyFill="1" applyBorder="1" applyAlignment="1">
      <alignment horizontal="center" vertical="center" wrapText="1"/>
    </xf>
    <xf numFmtId="167" fontId="83" fillId="0" borderId="0" xfId="0" applyNumberFormat="1" applyFont="1" applyFill="1"/>
    <xf numFmtId="1" fontId="32" fillId="0" borderId="1" xfId="0" applyNumberFormat="1" applyFont="1" applyFill="1" applyBorder="1" applyAlignment="1">
      <alignment horizontal="center" vertical="center"/>
    </xf>
    <xf numFmtId="167" fontId="32" fillId="0" borderId="1" xfId="78" applyNumberFormat="1" applyFont="1" applyFill="1" applyBorder="1" applyAlignment="1">
      <alignment vertical="center" wrapText="1"/>
    </xf>
    <xf numFmtId="0" fontId="83" fillId="0" borderId="0" xfId="0" applyFont="1" applyFill="1"/>
    <xf numFmtId="3" fontId="2" fillId="0" borderId="1" xfId="0" applyNumberFormat="1" applyFont="1" applyFill="1" applyBorder="1" applyAlignment="1">
      <alignment horizontal="right" vertical="center"/>
    </xf>
    <xf numFmtId="0" fontId="23" fillId="0" borderId="1" xfId="9" applyFont="1" applyFill="1" applyBorder="1" applyAlignment="1">
      <alignment horizontal="center" vertical="center" wrapText="1"/>
    </xf>
    <xf numFmtId="0" fontId="23" fillId="0" borderId="1" xfId="0" applyFont="1" applyFill="1" applyBorder="1" applyAlignment="1">
      <alignment horizontal="center" vertical="center" wrapText="1"/>
    </xf>
    <xf numFmtId="0" fontId="84" fillId="0" borderId="0" xfId="0" applyFont="1" applyFill="1"/>
    <xf numFmtId="167" fontId="84" fillId="0" borderId="0" xfId="0" applyNumberFormat="1" applyFont="1" applyFill="1"/>
    <xf numFmtId="0" fontId="85" fillId="0" borderId="0" xfId="0" applyFont="1" applyFill="1"/>
    <xf numFmtId="0" fontId="6" fillId="0" borderId="1" xfId="0" applyFont="1" applyBorder="1" applyAlignment="1">
      <alignment vertical="center" wrapText="1"/>
    </xf>
    <xf numFmtId="1" fontId="8" fillId="0" borderId="1" xfId="6" applyNumberFormat="1" applyFont="1" applyFill="1" applyBorder="1" applyAlignment="1">
      <alignment horizontal="center" vertical="center"/>
    </xf>
    <xf numFmtId="167" fontId="12" fillId="0" borderId="1" xfId="78" applyNumberFormat="1" applyFont="1" applyFill="1" applyBorder="1" applyAlignment="1">
      <alignment horizontal="right" vertical="center" wrapText="1"/>
    </xf>
    <xf numFmtId="0" fontId="87" fillId="0" borderId="0" xfId="0" applyFont="1" applyFill="1"/>
    <xf numFmtId="0" fontId="2" fillId="0" borderId="1" xfId="16" applyFont="1" applyFill="1" applyBorder="1" applyAlignment="1">
      <alignment horizontal="left" vertical="center" wrapText="1"/>
    </xf>
    <xf numFmtId="0" fontId="8" fillId="0" borderId="0" xfId="0" applyFont="1" applyFill="1"/>
    <xf numFmtId="167" fontId="33" fillId="0" borderId="0" xfId="0" applyNumberFormat="1" applyFont="1" applyFill="1" applyBorder="1" applyAlignment="1">
      <alignment horizontal="center" vertical="center"/>
    </xf>
    <xf numFmtId="167" fontId="17" fillId="0" borderId="0" xfId="78" applyNumberFormat="1" applyFont="1" applyFill="1" applyBorder="1" applyAlignment="1">
      <alignment vertical="center" wrapText="1"/>
    </xf>
    <xf numFmtId="0" fontId="63" fillId="0" borderId="0" xfId="0" applyFont="1" applyFill="1" applyBorder="1" applyAlignment="1">
      <alignment horizontal="center" vertical="center" wrapText="1"/>
    </xf>
    <xf numFmtId="0" fontId="23" fillId="0" borderId="0" xfId="0" applyFont="1" applyFill="1" applyBorder="1" applyAlignment="1">
      <alignment horizontal="center" wrapText="1"/>
    </xf>
    <xf numFmtId="0" fontId="33" fillId="0" borderId="0" xfId="0" applyFont="1" applyFill="1" applyBorder="1" applyAlignment="1">
      <alignment horizontal="center" vertical="center" wrapText="1"/>
    </xf>
    <xf numFmtId="167" fontId="32" fillId="0" borderId="0" xfId="78" applyNumberFormat="1" applyFont="1" applyFill="1" applyBorder="1" applyAlignment="1">
      <alignment vertical="center" wrapText="1"/>
    </xf>
    <xf numFmtId="167" fontId="17" fillId="0" borderId="1" xfId="46" applyNumberFormat="1" applyFont="1" applyFill="1" applyBorder="1" applyAlignment="1">
      <alignment horizontal="center" vertical="center" wrapText="1"/>
    </xf>
    <xf numFmtId="167" fontId="32" fillId="0" borderId="1" xfId="46" applyNumberFormat="1" applyFont="1" applyFill="1" applyBorder="1" applyAlignment="1">
      <alignment horizontal="center" vertical="center" wrapText="1"/>
    </xf>
    <xf numFmtId="167" fontId="28" fillId="0" borderId="0" xfId="78" applyNumberFormat="1" applyFont="1" applyFill="1" applyBorder="1" applyAlignment="1">
      <alignment horizontal="right" vertical="center"/>
    </xf>
    <xf numFmtId="1" fontId="26" fillId="0" borderId="1" xfId="78" applyNumberFormat="1" applyFont="1" applyFill="1" applyBorder="1" applyAlignment="1">
      <alignment horizontal="center" vertical="center" wrapText="1"/>
    </xf>
    <xf numFmtId="167" fontId="26" fillId="0" borderId="4" xfId="78" applyNumberFormat="1" applyFont="1" applyFill="1" applyBorder="1" applyAlignment="1">
      <alignment horizontal="center" vertical="center" wrapText="1"/>
    </xf>
    <xf numFmtId="167" fontId="26" fillId="0" borderId="2" xfId="78" applyNumberFormat="1" applyFont="1" applyFill="1" applyBorder="1" applyAlignment="1">
      <alignment horizontal="center" vertical="center" wrapText="1"/>
    </xf>
    <xf numFmtId="1" fontId="36" fillId="0" borderId="1" xfId="78" applyNumberFormat="1" applyFont="1" applyFill="1" applyBorder="1" applyAlignment="1">
      <alignment horizontal="center" vertical="center" wrapText="1"/>
    </xf>
    <xf numFmtId="167" fontId="26" fillId="0" borderId="1" xfId="78" applyNumberFormat="1" applyFont="1" applyFill="1" applyBorder="1" applyAlignment="1">
      <alignment horizontal="center" vertical="center" wrapText="1"/>
    </xf>
    <xf numFmtId="167" fontId="26" fillId="0" borderId="19" xfId="78" applyNumberFormat="1" applyFont="1" applyFill="1" applyBorder="1" applyAlignment="1">
      <alignment horizontal="center" vertical="center" wrapText="1"/>
    </xf>
    <xf numFmtId="167" fontId="26" fillId="0" borderId="18" xfId="78" applyNumberFormat="1" applyFont="1" applyFill="1" applyBorder="1" applyAlignment="1">
      <alignment horizontal="center" vertical="center" wrapText="1"/>
    </xf>
    <xf numFmtId="167" fontId="33" fillId="0" borderId="1" xfId="78" applyNumberFormat="1" applyFont="1" applyFill="1" applyBorder="1" applyAlignment="1">
      <alignment horizontal="center" vertical="center" wrapText="1"/>
    </xf>
    <xf numFmtId="167" fontId="26" fillId="0" borderId="3" xfId="78" applyNumberFormat="1" applyFont="1" applyFill="1" applyBorder="1" applyAlignment="1">
      <alignment horizontal="center" vertical="center" wrapText="1"/>
    </xf>
    <xf numFmtId="167" fontId="36" fillId="0" borderId="1" xfId="78" applyNumberFormat="1" applyFont="1" applyFill="1" applyBorder="1" applyAlignment="1">
      <alignment horizontal="center" vertical="center" wrapText="1"/>
    </xf>
    <xf numFmtId="167" fontId="36" fillId="0" borderId="3" xfId="78" applyNumberFormat="1" applyFont="1" applyFill="1" applyBorder="1" applyAlignment="1">
      <alignment horizontal="center" vertical="center" wrapText="1"/>
    </xf>
    <xf numFmtId="167" fontId="18" fillId="0" borderId="0" xfId="0" applyNumberFormat="1" applyFont="1" applyFill="1" applyBorder="1" applyAlignment="1">
      <alignment horizontal="center" vertical="center" wrapText="1"/>
    </xf>
    <xf numFmtId="167" fontId="33" fillId="0" borderId="0" xfId="78" applyNumberFormat="1" applyFont="1" applyFill="1" applyBorder="1" applyAlignment="1">
      <alignment horizontal="center" vertical="center" wrapText="1"/>
    </xf>
    <xf numFmtId="167" fontId="6" fillId="0" borderId="5" xfId="46" applyNumberFormat="1" applyFont="1" applyFill="1" applyBorder="1" applyAlignment="1">
      <alignment horizontal="left" vertical="center" wrapText="1"/>
    </xf>
    <xf numFmtId="0" fontId="1" fillId="0" borderId="1" xfId="0" applyFont="1" applyFill="1" applyBorder="1"/>
    <xf numFmtId="0" fontId="64" fillId="0" borderId="1" xfId="0" applyFont="1" applyFill="1" applyBorder="1"/>
    <xf numFmtId="1" fontId="28" fillId="0" borderId="1" xfId="0" quotePrefix="1" applyNumberFormat="1" applyFont="1" applyFill="1" applyBorder="1" applyAlignment="1">
      <alignment horizontal="center" vertical="center"/>
    </xf>
    <xf numFmtId="1" fontId="2" fillId="0" borderId="1" xfId="0" quotePrefix="1" applyNumberFormat="1" applyFont="1" applyFill="1" applyBorder="1" applyAlignment="1">
      <alignment horizontal="center" vertical="center"/>
    </xf>
    <xf numFmtId="0" fontId="59" fillId="0" borderId="1" xfId="0" applyFont="1" applyFill="1" applyBorder="1" applyAlignment="1">
      <alignment horizontal="center" vertical="center" wrapText="1"/>
    </xf>
    <xf numFmtId="167" fontId="30" fillId="0" borderId="5" xfId="46" applyNumberFormat="1" applyFont="1" applyFill="1" applyBorder="1" applyAlignment="1">
      <alignment horizontal="left" vertical="center" wrapText="1"/>
    </xf>
    <xf numFmtId="0" fontId="87" fillId="0" borderId="1" xfId="0" applyFont="1" applyFill="1" applyBorder="1"/>
    <xf numFmtId="167" fontId="30" fillId="0" borderId="1" xfId="0" applyNumberFormat="1" applyFont="1" applyFill="1" applyBorder="1"/>
    <xf numFmtId="0" fontId="30" fillId="0" borderId="0" xfId="0" applyFont="1" applyFill="1"/>
    <xf numFmtId="1" fontId="30" fillId="0" borderId="1" xfId="0" applyNumberFormat="1" applyFont="1" applyFill="1" applyBorder="1" applyAlignment="1">
      <alignment horizontal="center" vertical="center"/>
    </xf>
    <xf numFmtId="167" fontId="30" fillId="0" borderId="1" xfId="46" applyNumberFormat="1" applyFont="1" applyFill="1" applyBorder="1" applyAlignment="1">
      <alignment horizontal="left" vertical="center" wrapText="1"/>
    </xf>
    <xf numFmtId="0" fontId="88" fillId="0" borderId="1" xfId="0" applyFont="1" applyFill="1" applyBorder="1" applyAlignment="1">
      <alignment horizontal="center" vertical="center" wrapText="1"/>
    </xf>
    <xf numFmtId="0" fontId="86" fillId="0" borderId="1" xfId="0" applyFont="1" applyFill="1" applyBorder="1" applyAlignment="1">
      <alignment horizontal="center" vertical="center" wrapText="1"/>
    </xf>
    <xf numFmtId="167" fontId="30" fillId="0" borderId="1" xfId="78" applyNumberFormat="1" applyFont="1" applyFill="1" applyBorder="1" applyAlignment="1">
      <alignment vertical="center" wrapText="1"/>
    </xf>
    <xf numFmtId="0" fontId="89" fillId="0" borderId="0" xfId="0" applyFont="1" applyFill="1" applyBorder="1" applyAlignment="1">
      <alignment horizontal="center" vertical="center" wrapText="1"/>
    </xf>
    <xf numFmtId="167" fontId="89" fillId="0" borderId="0" xfId="0" applyNumberFormat="1" applyFont="1" applyFill="1" applyBorder="1" applyAlignment="1">
      <alignment horizontal="center" vertical="center"/>
    </xf>
    <xf numFmtId="0" fontId="90" fillId="0" borderId="0" xfId="0" applyFont="1" applyFill="1"/>
    <xf numFmtId="1" fontId="2" fillId="0" borderId="1" xfId="0" applyNumberFormat="1" applyFont="1" applyFill="1" applyBorder="1" applyAlignment="1">
      <alignment horizontal="center" vertical="center" wrapText="1"/>
    </xf>
    <xf numFmtId="1" fontId="31" fillId="0" borderId="1" xfId="0" applyNumberFormat="1" applyFont="1" applyFill="1" applyBorder="1" applyAlignment="1">
      <alignment horizontal="center" vertical="center"/>
    </xf>
    <xf numFmtId="167" fontId="28" fillId="0" borderId="8" xfId="1" applyNumberFormat="1" applyFont="1" applyFill="1" applyBorder="1" applyAlignment="1">
      <alignment vertical="center"/>
    </xf>
    <xf numFmtId="167" fontId="91" fillId="0" borderId="1" xfId="78" applyNumberFormat="1" applyFont="1" applyFill="1" applyBorder="1" applyAlignment="1">
      <alignment vertical="center" wrapText="1"/>
    </xf>
    <xf numFmtId="0" fontId="30" fillId="0" borderId="0" xfId="0" applyFont="1" applyFill="1" applyAlignment="1"/>
    <xf numFmtId="167" fontId="75" fillId="0" borderId="1" xfId="5" applyNumberFormat="1" applyFont="1" applyFill="1" applyBorder="1" applyAlignment="1">
      <alignment horizontal="center" vertical="center" wrapText="1"/>
    </xf>
    <xf numFmtId="0" fontId="6" fillId="0" borderId="1" xfId="6" applyFont="1" applyFill="1" applyBorder="1" applyAlignment="1">
      <alignment horizontal="center" vertical="center" wrapText="1"/>
    </xf>
    <xf numFmtId="167" fontId="6" fillId="0" borderId="1" xfId="14" applyNumberFormat="1" applyFont="1" applyFill="1" applyBorder="1" applyAlignment="1">
      <alignment horizontal="center" vertical="center" wrapText="1"/>
    </xf>
    <xf numFmtId="167" fontId="2" fillId="0" borderId="1" xfId="0" applyNumberFormat="1" applyFont="1" applyFill="1" applyBorder="1" applyAlignment="1">
      <alignment horizontal="center" vertical="center" wrapText="1"/>
    </xf>
    <xf numFmtId="0" fontId="24" fillId="0" borderId="0" xfId="0" applyFont="1" applyFill="1" applyAlignment="1">
      <alignment wrapText="1"/>
    </xf>
    <xf numFmtId="0" fontId="79" fillId="0" borderId="1" xfId="0" applyFont="1" applyFill="1" applyBorder="1" applyAlignment="1">
      <alignment horizontal="center" vertical="center" wrapText="1"/>
    </xf>
    <xf numFmtId="3" fontId="79" fillId="0" borderId="1" xfId="0" applyNumberFormat="1" applyFont="1" applyFill="1" applyBorder="1" applyAlignment="1">
      <alignment horizontal="center" vertical="center"/>
    </xf>
    <xf numFmtId="0" fontId="79" fillId="0" borderId="1" xfId="0" applyNumberFormat="1" applyFont="1" applyFill="1" applyBorder="1" applyAlignment="1">
      <alignment horizontal="left" vertical="center" wrapText="1"/>
    </xf>
    <xf numFmtId="0" fontId="79" fillId="0" borderId="1" xfId="0" applyNumberFormat="1" applyFont="1" applyFill="1" applyBorder="1" applyAlignment="1">
      <alignment horizontal="center" vertical="center"/>
    </xf>
    <xf numFmtId="0" fontId="76" fillId="0" borderId="0" xfId="0" applyFont="1" applyFill="1"/>
    <xf numFmtId="0" fontId="76" fillId="0" borderId="0" xfId="0" applyFont="1" applyFill="1" applyAlignment="1">
      <alignment horizontal="center" vertical="center" wrapText="1"/>
    </xf>
    <xf numFmtId="0" fontId="78" fillId="0" borderId="0" xfId="0" applyFont="1" applyFill="1"/>
    <xf numFmtId="0" fontId="78" fillId="0" borderId="0" xfId="0" applyFont="1" applyFill="1" applyAlignment="1">
      <alignment wrapText="1"/>
    </xf>
    <xf numFmtId="0" fontId="92" fillId="0" borderId="0" xfId="0" applyFont="1" applyFill="1"/>
    <xf numFmtId="0" fontId="92" fillId="0" borderId="0" xfId="0" applyFont="1" applyFill="1" applyAlignment="1">
      <alignment wrapText="1"/>
    </xf>
    <xf numFmtId="0" fontId="78" fillId="0" borderId="0" xfId="0" applyFont="1" applyFill="1" applyAlignment="1">
      <alignment vertical="center" wrapText="1"/>
    </xf>
    <xf numFmtId="0" fontId="24" fillId="0" borderId="0" xfId="0" applyFont="1" applyFill="1" applyAlignment="1">
      <alignment horizontal="center" vertical="center" wrapText="1"/>
    </xf>
    <xf numFmtId="167" fontId="30" fillId="0" borderId="0" xfId="78" applyNumberFormat="1" applyFont="1" applyFill="1" applyBorder="1" applyAlignment="1"/>
    <xf numFmtId="167" fontId="30" fillId="0" borderId="0" xfId="78" applyNumberFormat="1" applyFont="1" applyFill="1" applyBorder="1" applyAlignment="1">
      <alignment horizontal="right"/>
    </xf>
    <xf numFmtId="167" fontId="62" fillId="0" borderId="0" xfId="78" applyNumberFormat="1" applyFont="1" applyFill="1" applyBorder="1" applyAlignment="1">
      <alignment horizontal="center"/>
    </xf>
    <xf numFmtId="167" fontId="28" fillId="0" borderId="0" xfId="78" applyNumberFormat="1" applyFont="1" applyFill="1" applyBorder="1" applyAlignment="1"/>
    <xf numFmtId="167" fontId="34" fillId="0" borderId="0" xfId="78" applyNumberFormat="1" applyFont="1" applyFill="1" applyBorder="1" applyAlignment="1"/>
    <xf numFmtId="167" fontId="33" fillId="0" borderId="0" xfId="78" applyNumberFormat="1" applyFont="1" applyFill="1" applyBorder="1" applyAlignment="1">
      <alignment horizontal="center"/>
    </xf>
    <xf numFmtId="0" fontId="33" fillId="0" borderId="0" xfId="78" applyNumberFormat="1" applyFont="1" applyFill="1" applyBorder="1" applyAlignment="1">
      <alignment horizontal="center" vertical="center" wrapText="1"/>
    </xf>
    <xf numFmtId="167" fontId="93" fillId="0" borderId="3" xfId="78" applyNumberFormat="1" applyFont="1" applyFill="1" applyBorder="1" applyAlignment="1">
      <alignment vertical="center" wrapText="1"/>
    </xf>
    <xf numFmtId="167" fontId="17" fillId="0" borderId="3" xfId="78" applyNumberFormat="1" applyFont="1" applyFill="1" applyBorder="1" applyAlignment="1">
      <alignment horizontal="center" vertical="center" wrapText="1"/>
    </xf>
    <xf numFmtId="167" fontId="2" fillId="0" borderId="1" xfId="78" applyNumberFormat="1" applyFont="1" applyFill="1" applyBorder="1" applyAlignment="1">
      <alignment horizontal="left" vertical="center" wrapText="1"/>
    </xf>
    <xf numFmtId="0" fontId="72" fillId="0" borderId="1" xfId="78" quotePrefix="1" applyNumberFormat="1" applyFont="1" applyFill="1" applyBorder="1" applyAlignment="1">
      <alignment horizontal="center" vertical="center" wrapText="1"/>
    </xf>
    <xf numFmtId="0" fontId="2" fillId="0" borderId="1" xfId="78" applyNumberFormat="1" applyFont="1" applyFill="1" applyBorder="1" applyAlignment="1">
      <alignment horizontal="right" vertical="center" wrapText="1"/>
    </xf>
    <xf numFmtId="167" fontId="2" fillId="0" borderId="3" xfId="78" quotePrefix="1" applyNumberFormat="1" applyFont="1" applyFill="1" applyBorder="1" applyAlignment="1">
      <alignment horizontal="right" vertical="center" wrapText="1"/>
    </xf>
    <xf numFmtId="167" fontId="12" fillId="0" borderId="1" xfId="78" quotePrefix="1" applyNumberFormat="1" applyFont="1" applyFill="1" applyBorder="1" applyAlignment="1">
      <alignment horizontal="right" vertical="center" wrapText="1"/>
    </xf>
    <xf numFmtId="0" fontId="18" fillId="0" borderId="0" xfId="78" applyNumberFormat="1" applyFont="1" applyFill="1" applyBorder="1" applyAlignment="1">
      <alignment horizontal="center" vertical="center" wrapText="1"/>
    </xf>
    <xf numFmtId="0" fontId="72" fillId="0" borderId="1" xfId="78" applyNumberFormat="1" applyFont="1" applyFill="1" applyBorder="1" applyAlignment="1">
      <alignment horizontal="center" vertical="center" wrapText="1"/>
    </xf>
    <xf numFmtId="0" fontId="2" fillId="0" borderId="1" xfId="78" quotePrefix="1" applyNumberFormat="1" applyFont="1" applyFill="1" applyBorder="1" applyAlignment="1">
      <alignment horizontal="right" vertical="center" wrapText="1"/>
    </xf>
    <xf numFmtId="167" fontId="18" fillId="0" borderId="0" xfId="78" quotePrefix="1" applyNumberFormat="1" applyFont="1" applyFill="1" applyBorder="1" applyAlignment="1">
      <alignment horizontal="center" vertical="center" wrapText="1"/>
    </xf>
    <xf numFmtId="0" fontId="72" fillId="0" borderId="1" xfId="78" quotePrefix="1" applyNumberFormat="1" applyFont="1" applyFill="1" applyBorder="1" applyAlignment="1">
      <alignment horizontal="center" wrapText="1"/>
    </xf>
    <xf numFmtId="167" fontId="6" fillId="0" borderId="3" xfId="78" quotePrefix="1" applyNumberFormat="1" applyFont="1" applyFill="1" applyBorder="1" applyAlignment="1">
      <alignment horizontal="right" vertical="center" wrapText="1"/>
    </xf>
    <xf numFmtId="167" fontId="61" fillId="0" borderId="1" xfId="78" applyNumberFormat="1" applyFont="1" applyFill="1" applyBorder="1" applyAlignment="1">
      <alignment vertical="center" wrapText="1"/>
    </xf>
    <xf numFmtId="0" fontId="12" fillId="0" borderId="1" xfId="11" applyFont="1" applyFill="1" applyBorder="1" applyAlignment="1">
      <alignment horizontal="left" vertical="center" wrapText="1"/>
    </xf>
    <xf numFmtId="0" fontId="9" fillId="0" borderId="1" xfId="78" quotePrefix="1" applyNumberFormat="1" applyFont="1" applyFill="1" applyBorder="1" applyAlignment="1">
      <alignment horizontal="center" vertical="center" wrapText="1"/>
    </xf>
    <xf numFmtId="0" fontId="12" fillId="0" borderId="1" xfId="78" quotePrefix="1" applyNumberFormat="1" applyFont="1" applyFill="1" applyBorder="1" applyAlignment="1">
      <alignment horizontal="right" vertical="center" wrapText="1"/>
    </xf>
    <xf numFmtId="167" fontId="74" fillId="0" borderId="3" xfId="78" quotePrefix="1" applyNumberFormat="1" applyFont="1" applyFill="1" applyBorder="1" applyAlignment="1">
      <alignment horizontal="right" vertical="center" wrapText="1"/>
    </xf>
    <xf numFmtId="167" fontId="73" fillId="0" borderId="1" xfId="78" applyNumberFormat="1" applyFont="1" applyFill="1" applyBorder="1" applyAlignment="1">
      <alignment vertical="center" wrapText="1"/>
    </xf>
    <xf numFmtId="0" fontId="72" fillId="0" borderId="1" xfId="6" quotePrefix="1" applyNumberFormat="1" applyFont="1" applyFill="1" applyBorder="1" applyAlignment="1">
      <alignment horizontal="center" wrapText="1"/>
    </xf>
    <xf numFmtId="167" fontId="75" fillId="0" borderId="3" xfId="78" quotePrefix="1" applyNumberFormat="1" applyFont="1" applyFill="1" applyBorder="1" applyAlignment="1">
      <alignment horizontal="right" vertical="center" wrapText="1"/>
    </xf>
    <xf numFmtId="0" fontId="23" fillId="0" borderId="0" xfId="6" applyFont="1" applyFill="1" applyAlignment="1">
      <alignment horizontal="center"/>
    </xf>
    <xf numFmtId="0" fontId="72" fillId="0" borderId="0" xfId="6" applyFont="1" applyFill="1" applyAlignment="1">
      <alignment horizontal="center"/>
    </xf>
    <xf numFmtId="0" fontId="18" fillId="0" borderId="0" xfId="6" applyFont="1" applyFill="1" applyAlignment="1">
      <alignment horizontal="center"/>
    </xf>
    <xf numFmtId="165" fontId="31" fillId="0" borderId="0" xfId="1" applyFont="1" applyFill="1"/>
    <xf numFmtId="0" fontId="35" fillId="0" borderId="0" xfId="0" applyFont="1" applyFill="1" applyAlignment="1"/>
    <xf numFmtId="167" fontId="34" fillId="0" borderId="0" xfId="78" applyNumberFormat="1" applyFont="1" applyFill="1" applyBorder="1" applyAlignment="1">
      <alignment horizontal="right" vertical="center"/>
    </xf>
    <xf numFmtId="0" fontId="95" fillId="0" borderId="0" xfId="0" applyFont="1" applyFill="1"/>
    <xf numFmtId="0" fontId="2" fillId="0" borderId="1" xfId="75" applyFont="1" applyFill="1" applyBorder="1" applyAlignment="1">
      <alignment horizontal="center" vertical="center" wrapText="1"/>
    </xf>
    <xf numFmtId="0" fontId="2" fillId="0" borderId="1" xfId="75" applyFont="1" applyFill="1" applyBorder="1" applyAlignment="1">
      <alignment horizontal="left" vertical="center" wrapText="1"/>
    </xf>
    <xf numFmtId="167" fontId="61" fillId="0" borderId="1" xfId="5" applyNumberFormat="1" applyFont="1" applyFill="1" applyBorder="1" applyAlignment="1">
      <alignment horizontal="center" vertical="center" wrapText="1"/>
    </xf>
    <xf numFmtId="0" fontId="2" fillId="0" borderId="1" xfId="0" applyNumberFormat="1" applyFont="1" applyFill="1" applyBorder="1" applyAlignment="1">
      <alignment horizontal="left" vertical="center" wrapText="1"/>
    </xf>
    <xf numFmtId="0" fontId="2" fillId="0" borderId="1" xfId="63" applyFont="1" applyFill="1" applyBorder="1" applyAlignment="1">
      <alignment horizontal="left" vertical="center" wrapText="1"/>
    </xf>
    <xf numFmtId="1" fontId="12" fillId="0" borderId="1" xfId="0" applyNumberFormat="1" applyFont="1" applyFill="1" applyBorder="1" applyAlignment="1">
      <alignment horizontal="center" vertical="center"/>
    </xf>
    <xf numFmtId="2" fontId="60" fillId="0" borderId="1" xfId="78" applyNumberFormat="1" applyFont="1" applyFill="1" applyBorder="1" applyAlignment="1">
      <alignment vertical="center" wrapText="1"/>
    </xf>
    <xf numFmtId="167" fontId="12" fillId="0" borderId="1" xfId="78" applyNumberFormat="1" applyFont="1" applyFill="1" applyBorder="1" applyAlignment="1">
      <alignment vertical="center" wrapText="1"/>
    </xf>
    <xf numFmtId="167" fontId="12" fillId="0" borderId="1" xfId="78"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167" fontId="65" fillId="0" borderId="0" xfId="0" applyNumberFormat="1" applyFont="1" applyFill="1" applyBorder="1" applyAlignment="1">
      <alignment horizontal="center" vertical="center"/>
    </xf>
    <xf numFmtId="0" fontId="2" fillId="0" borderId="1" xfId="66" applyFont="1" applyFill="1" applyBorder="1" applyAlignment="1">
      <alignment horizontal="left" vertical="center" wrapText="1"/>
    </xf>
    <xf numFmtId="0" fontId="31" fillId="0" borderId="1" xfId="6" applyFont="1" applyFill="1" applyBorder="1" applyAlignment="1">
      <alignment horizontal="center"/>
    </xf>
    <xf numFmtId="0" fontId="0" fillId="0" borderId="0" xfId="0" applyAlignment="1">
      <alignment vertical="center" wrapText="1"/>
    </xf>
    <xf numFmtId="0" fontId="96" fillId="0" borderId="0" xfId="0" applyFont="1" applyAlignment="1">
      <alignment vertical="center" wrapText="1"/>
    </xf>
    <xf numFmtId="168" fontId="0" fillId="0" borderId="0" xfId="0" applyNumberFormat="1" applyAlignment="1">
      <alignment vertical="center" wrapText="1"/>
    </xf>
    <xf numFmtId="0" fontId="97" fillId="0" borderId="8" xfId="0" applyFont="1" applyBorder="1" applyAlignment="1">
      <alignment vertical="center"/>
    </xf>
    <xf numFmtId="0" fontId="97" fillId="0" borderId="8" xfId="0" applyFont="1" applyBorder="1" applyAlignment="1">
      <alignment horizontal="left" vertical="center" wrapText="1"/>
    </xf>
    <xf numFmtId="169" fontId="97" fillId="0" borderId="8" xfId="0" applyNumberFormat="1" applyFont="1" applyBorder="1" applyAlignment="1">
      <alignment horizontal="right" vertical="center" wrapText="1"/>
    </xf>
    <xf numFmtId="0" fontId="97" fillId="0" borderId="8" xfId="0" applyFont="1" applyBorder="1" applyAlignment="1">
      <alignment horizontal="right" vertical="center" wrapText="1"/>
    </xf>
    <xf numFmtId="0" fontId="97" fillId="0" borderId="1" xfId="0" applyFont="1" applyBorder="1" applyAlignment="1">
      <alignment horizontal="center" vertical="center"/>
    </xf>
    <xf numFmtId="0" fontId="97" fillId="0" borderId="1" xfId="0" applyFont="1" applyBorder="1" applyAlignment="1">
      <alignment horizontal="center" vertical="center" wrapText="1"/>
    </xf>
    <xf numFmtId="169" fontId="97" fillId="0" borderId="1" xfId="0" applyNumberFormat="1" applyFont="1" applyBorder="1" applyAlignment="1">
      <alignment horizontal="center" vertical="center" wrapText="1"/>
    </xf>
    <xf numFmtId="0" fontId="97" fillId="0" borderId="0" xfId="0" applyFont="1"/>
    <xf numFmtId="0" fontId="97" fillId="0" borderId="1" xfId="0" applyFont="1" applyBorder="1" applyAlignment="1">
      <alignment horizontal="left" vertical="center" wrapText="1"/>
    </xf>
    <xf numFmtId="169" fontId="97" fillId="0" borderId="1" xfId="0" applyNumberFormat="1" applyFont="1" applyBorder="1" applyAlignment="1">
      <alignment horizontal="right" vertical="center" wrapText="1"/>
    </xf>
    <xf numFmtId="0" fontId="99" fillId="0" borderId="0" xfId="0" applyFont="1"/>
    <xf numFmtId="0" fontId="100" fillId="0" borderId="1" xfId="0" applyFont="1" applyBorder="1" applyAlignment="1">
      <alignment horizontal="center" vertical="center"/>
    </xf>
    <xf numFmtId="0" fontId="101" fillId="0" borderId="1" xfId="0" applyFont="1" applyBorder="1" applyAlignment="1">
      <alignment wrapText="1"/>
    </xf>
    <xf numFmtId="169" fontId="100" fillId="0" borderId="1" xfId="1" applyNumberFormat="1" applyFont="1" applyBorder="1" applyAlignment="1">
      <alignment horizontal="right" vertical="center" wrapText="1"/>
    </xf>
    <xf numFmtId="167" fontId="100" fillId="0" borderId="1" xfId="1" applyNumberFormat="1" applyFont="1" applyBorder="1" applyAlignment="1">
      <alignment horizontal="right" vertical="center" wrapText="1"/>
    </xf>
    <xf numFmtId="169" fontId="100" fillId="0" borderId="1" xfId="0" applyNumberFormat="1" applyFont="1" applyBorder="1" applyAlignment="1">
      <alignment horizontal="right" vertical="center"/>
    </xf>
    <xf numFmtId="0" fontId="102" fillId="0" borderId="0" xfId="0" applyFont="1"/>
    <xf numFmtId="0" fontId="100" fillId="0" borderId="1" xfId="0" applyFont="1" applyBorder="1" applyAlignment="1">
      <alignment horizontal="justify" vertical="center" wrapText="1"/>
    </xf>
    <xf numFmtId="165" fontId="100" fillId="0" borderId="1" xfId="1" applyFont="1" applyBorder="1" applyAlignment="1">
      <alignment horizontal="right" vertical="center" wrapText="1"/>
    </xf>
    <xf numFmtId="0" fontId="101" fillId="0" borderId="1" xfId="0" applyFont="1" applyBorder="1" applyAlignment="1">
      <alignment horizontal="left" vertical="center" wrapText="1"/>
    </xf>
    <xf numFmtId="169" fontId="100" fillId="0" borderId="1" xfId="1" applyNumberFormat="1" applyFont="1" applyFill="1" applyBorder="1" applyAlignment="1">
      <alignment horizontal="right" vertical="center" wrapText="1"/>
    </xf>
    <xf numFmtId="167" fontId="100" fillId="0" borderId="1" xfId="1" applyNumberFormat="1" applyFont="1" applyFill="1" applyBorder="1" applyAlignment="1">
      <alignment horizontal="right" vertical="center" wrapText="1"/>
    </xf>
    <xf numFmtId="169" fontId="100" fillId="0" borderId="1" xfId="0" applyNumberFormat="1" applyFont="1" applyFill="1" applyBorder="1" applyAlignment="1">
      <alignment horizontal="right" vertical="center"/>
    </xf>
    <xf numFmtId="0" fontId="4" fillId="0" borderId="1" xfId="0" applyFont="1" applyBorder="1" applyAlignment="1">
      <alignment horizontal="left" vertical="center" wrapText="1"/>
    </xf>
    <xf numFmtId="0" fontId="100" fillId="0" borderId="1" xfId="0" applyFont="1" applyBorder="1" applyAlignment="1">
      <alignment horizontal="left" vertical="center" wrapText="1"/>
    </xf>
    <xf numFmtId="169" fontId="100" fillId="0" borderId="1" xfId="0" applyNumberFormat="1" applyFont="1" applyFill="1" applyBorder="1" applyAlignment="1">
      <alignment horizontal="right" vertical="center" wrapText="1"/>
    </xf>
    <xf numFmtId="0" fontId="100" fillId="0" borderId="1" xfId="0" applyFont="1" applyFill="1" applyBorder="1" applyAlignment="1">
      <alignment horizontal="right" vertical="center" wrapText="1"/>
    </xf>
    <xf numFmtId="169" fontId="102" fillId="0" borderId="0" xfId="0" applyNumberFormat="1" applyFont="1"/>
    <xf numFmtId="0" fontId="0" fillId="0" borderId="0" xfId="0" applyBorder="1" applyAlignment="1">
      <alignment horizontal="center" vertical="center"/>
    </xf>
    <xf numFmtId="0" fontId="0" fillId="0" borderId="0" xfId="0" applyBorder="1" applyAlignment="1">
      <alignment horizontal="left" vertical="center" wrapText="1"/>
    </xf>
    <xf numFmtId="169" fontId="0" fillId="0" borderId="0" xfId="0" applyNumberFormat="1" applyBorder="1" applyAlignment="1">
      <alignment horizontal="right" vertical="center" wrapText="1"/>
    </xf>
    <xf numFmtId="0" fontId="0" fillId="0" borderId="0" xfId="0" applyBorder="1" applyAlignment="1">
      <alignment horizontal="right" vertical="center" wrapText="1"/>
    </xf>
    <xf numFmtId="169" fontId="0" fillId="0" borderId="0" xfId="0" applyNumberFormat="1" applyBorder="1" applyAlignment="1">
      <alignment horizontal="right" vertical="center"/>
    </xf>
    <xf numFmtId="0" fontId="0" fillId="0" borderId="0" xfId="0" applyBorder="1" applyAlignment="1">
      <alignment horizontal="right" vertical="center"/>
    </xf>
    <xf numFmtId="169" fontId="0" fillId="0" borderId="0" xfId="0" applyNumberFormat="1" applyAlignment="1">
      <alignment horizontal="right"/>
    </xf>
    <xf numFmtId="0" fontId="0" fillId="0" borderId="0" xfId="0" applyBorder="1"/>
    <xf numFmtId="0" fontId="0" fillId="0" borderId="0" xfId="0" applyBorder="1" applyAlignment="1">
      <alignment horizontal="left" wrapText="1"/>
    </xf>
    <xf numFmtId="169" fontId="0" fillId="0" borderId="0" xfId="0" applyNumberFormat="1" applyBorder="1" applyAlignment="1">
      <alignment horizontal="right" wrapText="1"/>
    </xf>
    <xf numFmtId="0" fontId="0" fillId="0" borderId="0" xfId="0" applyBorder="1" applyAlignment="1">
      <alignment horizontal="right" wrapText="1"/>
    </xf>
    <xf numFmtId="169" fontId="0" fillId="0" borderId="0" xfId="0" applyNumberFormat="1" applyBorder="1" applyAlignment="1">
      <alignment horizontal="right"/>
    </xf>
    <xf numFmtId="0" fontId="0" fillId="0" borderId="0" xfId="0" applyAlignment="1">
      <alignment horizontal="left" wrapText="1"/>
    </xf>
    <xf numFmtId="169" fontId="0" fillId="0" borderId="0" xfId="0" applyNumberFormat="1" applyAlignment="1">
      <alignment horizontal="right" wrapText="1"/>
    </xf>
    <xf numFmtId="0" fontId="0" fillId="0" borderId="0" xfId="0" applyAlignment="1">
      <alignment horizontal="right" wrapText="1"/>
    </xf>
    <xf numFmtId="0" fontId="76" fillId="0" borderId="1" xfId="0" applyFont="1" applyBorder="1" applyAlignment="1">
      <alignment horizontal="center" vertical="center"/>
    </xf>
    <xf numFmtId="0" fontId="17" fillId="0" borderId="1" xfId="0" applyFont="1" applyBorder="1" applyAlignment="1">
      <alignment horizontal="left" vertical="center" wrapText="1"/>
    </xf>
    <xf numFmtId="169" fontId="76" fillId="0" borderId="1" xfId="1" applyNumberFormat="1" applyFont="1" applyFill="1" applyBorder="1" applyAlignment="1">
      <alignment horizontal="right" vertical="center" wrapText="1"/>
    </xf>
    <xf numFmtId="0" fontId="77" fillId="0" borderId="0" xfId="0" applyFont="1"/>
    <xf numFmtId="0" fontId="77" fillId="0" borderId="1" xfId="0" applyFont="1" applyBorder="1" applyAlignment="1">
      <alignment horizontal="center" vertical="center" wrapText="1"/>
    </xf>
    <xf numFmtId="0" fontId="6" fillId="0" borderId="1" xfId="0" applyFont="1" applyBorder="1" applyAlignment="1">
      <alignment horizontal="center" vertical="center" wrapText="1"/>
    </xf>
    <xf numFmtId="168" fontId="6" fillId="0" borderId="1" xfId="82" applyNumberFormat="1" applyFont="1" applyBorder="1" applyAlignment="1">
      <alignment vertical="center" wrapText="1"/>
    </xf>
    <xf numFmtId="0" fontId="79" fillId="0" borderId="1" xfId="0" applyFont="1" applyBorder="1" applyAlignment="1">
      <alignment vertical="center" wrapText="1"/>
    </xf>
    <xf numFmtId="0" fontId="6" fillId="0" borderId="1" xfId="83" applyNumberFormat="1" applyFont="1" applyBorder="1" applyAlignment="1">
      <alignment horizontal="center" vertical="center" wrapText="1"/>
    </xf>
    <xf numFmtId="0" fontId="103" fillId="0" borderId="3" xfId="0" applyFont="1" applyBorder="1" applyAlignment="1">
      <alignment horizontal="center" vertical="center" wrapText="1"/>
    </xf>
    <xf numFmtId="0" fontId="19" fillId="2" borderId="0" xfId="0" applyFont="1" applyFill="1"/>
    <xf numFmtId="167" fontId="8" fillId="0" borderId="0" xfId="1" applyNumberFormat="1" applyFont="1" applyFill="1" applyBorder="1" applyAlignment="1">
      <alignment vertical="center" wrapText="1"/>
    </xf>
    <xf numFmtId="167" fontId="8" fillId="0" borderId="0" xfId="1" applyNumberFormat="1" applyFont="1" applyFill="1" applyBorder="1" applyAlignment="1">
      <alignment horizontal="center" vertical="center" wrapText="1"/>
    </xf>
    <xf numFmtId="1" fontId="8" fillId="0" borderId="1" xfId="1" applyNumberFormat="1" applyFont="1" applyFill="1" applyBorder="1" applyAlignment="1">
      <alignment vertical="center" wrapText="1"/>
    </xf>
    <xf numFmtId="167" fontId="8" fillId="0" borderId="3" xfId="1" applyNumberFormat="1" applyFont="1" applyFill="1" applyBorder="1" applyAlignment="1">
      <alignment vertical="center" wrapText="1"/>
    </xf>
    <xf numFmtId="167" fontId="8" fillId="0" borderId="1" xfId="1" applyNumberFormat="1" applyFont="1" applyFill="1" applyBorder="1" applyAlignment="1">
      <alignment vertical="center" wrapText="1"/>
    </xf>
    <xf numFmtId="167" fontId="8" fillId="0" borderId="1" xfId="5" applyNumberFormat="1" applyFont="1" applyFill="1" applyBorder="1" applyAlignment="1">
      <alignment vertical="center" wrapText="1"/>
    </xf>
    <xf numFmtId="164" fontId="8" fillId="0" borderId="1" xfId="1" applyNumberFormat="1" applyFont="1" applyFill="1" applyBorder="1" applyAlignment="1">
      <alignment vertical="center" wrapText="1"/>
    </xf>
    <xf numFmtId="0" fontId="17" fillId="0" borderId="1" xfId="0" applyFont="1" applyFill="1" applyBorder="1" applyAlignment="1">
      <alignment horizontal="center" vertical="center"/>
    </xf>
    <xf numFmtId="0" fontId="8" fillId="0" borderId="1" xfId="0" applyFont="1" applyFill="1" applyBorder="1" applyAlignment="1">
      <alignment horizontal="center" vertical="center"/>
    </xf>
    <xf numFmtId="167" fontId="19" fillId="0" borderId="0" xfId="0" applyNumberFormat="1" applyFont="1" applyFill="1"/>
    <xf numFmtId="1" fontId="15" fillId="0" borderId="1" xfId="0" applyNumberFormat="1" applyFont="1" applyFill="1" applyBorder="1" applyAlignment="1">
      <alignment horizontal="center" vertical="center"/>
    </xf>
    <xf numFmtId="0" fontId="12" fillId="0" borderId="1" xfId="0" applyFont="1" applyFill="1" applyBorder="1" applyAlignment="1">
      <alignment horizontal="center" vertical="center"/>
    </xf>
    <xf numFmtId="0" fontId="11" fillId="0" borderId="1" xfId="0" applyFont="1" applyFill="1" applyBorder="1" applyAlignment="1">
      <alignment horizontal="center" vertical="center"/>
    </xf>
    <xf numFmtId="167" fontId="69" fillId="0" borderId="0" xfId="0" applyNumberFormat="1" applyFont="1" applyFill="1"/>
    <xf numFmtId="0" fontId="4" fillId="0" borderId="1" xfId="0" quotePrefix="1" applyFont="1" applyFill="1" applyBorder="1" applyAlignment="1">
      <alignment horizontal="center" vertical="center" wrapText="1"/>
    </xf>
    <xf numFmtId="167" fontId="4" fillId="0" borderId="1" xfId="1" applyNumberFormat="1" applyFont="1" applyFill="1" applyBorder="1" applyAlignment="1">
      <alignment horizontal="center" vertical="center" wrapText="1"/>
    </xf>
    <xf numFmtId="1" fontId="16" fillId="0" borderId="1" xfId="0" applyNumberFormat="1" applyFont="1" applyFill="1" applyBorder="1" applyAlignment="1">
      <alignment horizontal="center" vertical="center" wrapText="1"/>
    </xf>
    <xf numFmtId="0" fontId="12" fillId="0" borderId="1" xfId="0" quotePrefix="1" applyFont="1" applyFill="1" applyBorder="1" applyAlignment="1">
      <alignment horizontal="center" vertical="center" wrapText="1"/>
    </xf>
    <xf numFmtId="167" fontId="4" fillId="0" borderId="1" xfId="1" applyNumberFormat="1" applyFont="1" applyFill="1" applyBorder="1" applyAlignment="1">
      <alignment vertical="center" wrapText="1"/>
    </xf>
    <xf numFmtId="0" fontId="8" fillId="0" borderId="1" xfId="13" applyFont="1" applyFill="1" applyBorder="1" applyAlignment="1">
      <alignment horizontal="center" vertical="center" wrapText="1"/>
    </xf>
    <xf numFmtId="0" fontId="4" fillId="0" borderId="1" xfId="13" applyFont="1" applyFill="1" applyBorder="1" applyAlignment="1">
      <alignment horizontal="center" vertical="center" wrapText="1"/>
    </xf>
    <xf numFmtId="0" fontId="11" fillId="0" borderId="1" xfId="0" quotePrefix="1" applyFont="1" applyFill="1" applyBorder="1" applyAlignment="1">
      <alignment horizontal="center" vertical="center" wrapText="1"/>
    </xf>
    <xf numFmtId="0" fontId="15" fillId="0" borderId="1" xfId="0" applyFont="1" applyFill="1" applyBorder="1" applyAlignment="1">
      <alignment horizontal="center" vertical="center"/>
    </xf>
    <xf numFmtId="1" fontId="12" fillId="0" borderId="1" xfId="8" quotePrefix="1" applyNumberFormat="1" applyFont="1" applyFill="1" applyBorder="1" applyAlignment="1">
      <alignment horizontal="center" vertical="center" wrapText="1"/>
    </xf>
    <xf numFmtId="167" fontId="11" fillId="0" borderId="1" xfId="10" applyNumberFormat="1" applyFont="1" applyFill="1" applyBorder="1" applyAlignment="1">
      <alignment horizontal="right" vertical="center" wrapText="1"/>
    </xf>
    <xf numFmtId="167" fontId="8" fillId="0" borderId="1" xfId="0" applyNumberFormat="1" applyFont="1" applyFill="1" applyBorder="1" applyAlignment="1">
      <alignment horizontal="center" vertical="center"/>
    </xf>
    <xf numFmtId="167" fontId="11" fillId="0" borderId="1" xfId="0" applyNumberFormat="1" applyFont="1" applyFill="1" applyBorder="1" applyAlignment="1">
      <alignment horizontal="center" vertical="center"/>
    </xf>
    <xf numFmtId="167" fontId="4" fillId="0" borderId="1" xfId="0" applyNumberFormat="1" applyFont="1" applyFill="1" applyBorder="1" applyAlignment="1">
      <alignment horizontal="center" vertical="center"/>
    </xf>
    <xf numFmtId="0" fontId="8" fillId="0" borderId="1" xfId="0" quotePrefix="1" applyFont="1" applyFill="1" applyBorder="1" applyAlignment="1">
      <alignment horizontal="center" vertical="center" wrapText="1"/>
    </xf>
    <xf numFmtId="0" fontId="2" fillId="0" borderId="1" xfId="0" applyFont="1" applyFill="1" applyBorder="1" applyAlignment="1">
      <alignment horizontal="center" vertical="center"/>
    </xf>
    <xf numFmtId="0" fontId="4" fillId="0" borderId="1" xfId="9" applyFont="1" applyFill="1" applyBorder="1" applyAlignment="1">
      <alignment horizontal="center" vertical="center" wrapText="1"/>
    </xf>
    <xf numFmtId="0" fontId="8" fillId="0" borderId="1" xfId="9" applyFont="1" applyFill="1" applyBorder="1" applyAlignment="1">
      <alignment horizontal="center" vertical="center" wrapText="1"/>
    </xf>
    <xf numFmtId="0" fontId="104" fillId="0" borderId="0" xfId="0" applyFont="1" applyFill="1"/>
    <xf numFmtId="1" fontId="8" fillId="2" borderId="1" xfId="0" applyNumberFormat="1" applyFont="1" applyFill="1" applyBorder="1" applyAlignment="1">
      <alignment horizontal="center" vertical="center"/>
    </xf>
    <xf numFmtId="167" fontId="11" fillId="0" borderId="1" xfId="1" applyNumberFormat="1" applyFont="1" applyFill="1" applyBorder="1" applyAlignment="1">
      <alignment horizontal="center" vertical="center" wrapText="1"/>
    </xf>
    <xf numFmtId="0" fontId="105" fillId="0" borderId="0" xfId="0" applyFont="1" applyFill="1"/>
    <xf numFmtId="0" fontId="4" fillId="0" borderId="1" xfId="0" applyFont="1" applyFill="1" applyBorder="1" applyAlignment="1">
      <alignment horizontal="center" vertical="center"/>
    </xf>
    <xf numFmtId="0" fontId="4" fillId="0" borderId="5" xfId="0" applyFont="1" applyFill="1" applyBorder="1" applyAlignment="1">
      <alignment horizontal="center" vertical="center" wrapText="1"/>
    </xf>
    <xf numFmtId="0" fontId="12" fillId="0" borderId="1" xfId="1" quotePrefix="1" applyNumberFormat="1" applyFont="1" applyFill="1" applyBorder="1" applyAlignment="1">
      <alignment horizontal="center" vertical="center" wrapText="1"/>
    </xf>
    <xf numFmtId="167" fontId="15" fillId="0" borderId="1" xfId="1" applyNumberFormat="1" applyFont="1" applyFill="1" applyBorder="1" applyAlignment="1">
      <alignment horizontal="center" vertical="center" wrapText="1"/>
    </xf>
    <xf numFmtId="0" fontId="12" fillId="0" borderId="1" xfId="0" applyFont="1" applyFill="1" applyBorder="1" applyAlignment="1">
      <alignment horizontal="right" vertical="center"/>
    </xf>
    <xf numFmtId="167" fontId="11" fillId="0" borderId="5" xfId="1" applyNumberFormat="1" applyFont="1" applyFill="1" applyBorder="1" applyAlignment="1">
      <alignment horizontal="right" vertical="center" wrapText="1"/>
    </xf>
    <xf numFmtId="1" fontId="12" fillId="0" borderId="1" xfId="8" applyNumberFormat="1" applyFont="1" applyFill="1" applyBorder="1" applyAlignment="1">
      <alignment horizontal="justify" vertical="center" wrapText="1"/>
    </xf>
    <xf numFmtId="167" fontId="2" fillId="0" borderId="1" xfId="78" quotePrefix="1" applyNumberFormat="1" applyFont="1" applyFill="1" applyBorder="1" applyAlignment="1">
      <alignment horizontal="right" vertical="center" wrapText="1"/>
    </xf>
    <xf numFmtId="167" fontId="2" fillId="0" borderId="1" xfId="78" quotePrefix="1" applyNumberFormat="1" applyFont="1" applyFill="1" applyBorder="1" applyAlignment="1">
      <alignment horizontal="center" vertical="center" wrapText="1"/>
    </xf>
    <xf numFmtId="0" fontId="30" fillId="0" borderId="0" xfId="0" applyFont="1" applyAlignment="1">
      <alignment vertical="center" wrapText="1"/>
    </xf>
    <xf numFmtId="3" fontId="77" fillId="0" borderId="1" xfId="0" applyNumberFormat="1" applyFont="1" applyFill="1" applyBorder="1" applyAlignment="1">
      <alignment horizontal="center" vertical="center" wrapText="1"/>
    </xf>
    <xf numFmtId="0" fontId="108" fillId="0" borderId="1" xfId="0" applyFont="1" applyFill="1" applyBorder="1" applyAlignment="1">
      <alignment horizontal="center" vertical="center" wrapText="1"/>
    </xf>
    <xf numFmtId="0" fontId="61" fillId="0" borderId="1" xfId="0" applyFont="1" applyFill="1" applyBorder="1" applyAlignment="1">
      <alignment horizontal="left" vertical="center" wrapText="1"/>
    </xf>
    <xf numFmtId="0" fontId="61" fillId="0" borderId="1" xfId="0" applyFont="1" applyFill="1" applyBorder="1" applyAlignment="1">
      <alignment horizontal="center" vertical="center" wrapText="1"/>
    </xf>
    <xf numFmtId="3" fontId="61" fillId="0" borderId="1" xfId="0" applyNumberFormat="1" applyFont="1" applyFill="1" applyBorder="1" applyAlignment="1">
      <alignment horizontal="center" vertical="center"/>
    </xf>
    <xf numFmtId="167" fontId="26" fillId="0" borderId="1" xfId="1" applyNumberFormat="1" applyFont="1" applyFill="1" applyBorder="1" applyAlignment="1">
      <alignment horizontal="center" vertical="center" wrapText="1"/>
    </xf>
    <xf numFmtId="167" fontId="25" fillId="0" borderId="1" xfId="1" applyNumberFormat="1" applyFont="1" applyFill="1" applyBorder="1" applyAlignment="1">
      <alignment horizontal="center" vertical="center" wrapText="1"/>
    </xf>
    <xf numFmtId="167" fontId="17" fillId="0" borderId="1" xfId="78" applyNumberFormat="1" applyFont="1" applyFill="1" applyBorder="1" applyAlignment="1">
      <alignment horizontal="left" vertical="center" wrapText="1"/>
    </xf>
    <xf numFmtId="0" fontId="62" fillId="0" borderId="1" xfId="78" applyNumberFormat="1" applyFont="1" applyFill="1" applyBorder="1" applyAlignment="1">
      <alignment horizontal="center" vertical="center" wrapText="1"/>
    </xf>
    <xf numFmtId="167" fontId="33" fillId="0" borderId="0" xfId="78" quotePrefix="1" applyNumberFormat="1" applyFont="1" applyFill="1" applyBorder="1" applyAlignment="1">
      <alignment horizontal="center" vertical="center" wrapText="1"/>
    </xf>
    <xf numFmtId="167" fontId="17" fillId="0" borderId="1" xfId="1" quotePrefix="1" applyNumberFormat="1" applyFont="1" applyFill="1" applyBorder="1" applyAlignment="1">
      <alignment horizontal="right" vertical="center" wrapText="1"/>
    </xf>
    <xf numFmtId="0" fontId="2" fillId="0" borderId="1" xfId="6" applyFont="1" applyFill="1" applyBorder="1" applyAlignment="1">
      <alignment horizontal="center" vertical="center"/>
    </xf>
    <xf numFmtId="0" fontId="17" fillId="0" borderId="1" xfId="6" applyFont="1" applyFill="1" applyBorder="1" applyAlignment="1">
      <alignment horizontal="center" vertical="center"/>
    </xf>
    <xf numFmtId="1" fontId="66" fillId="0" borderId="1" xfId="1" applyNumberFormat="1" applyFont="1" applyFill="1" applyBorder="1" applyAlignment="1">
      <alignment horizontal="center" vertical="center" wrapText="1"/>
    </xf>
    <xf numFmtId="169" fontId="97" fillId="2" borderId="1" xfId="0" applyNumberFormat="1" applyFont="1" applyFill="1" applyBorder="1" applyAlignment="1">
      <alignment horizontal="right" vertical="center" wrapText="1"/>
    </xf>
    <xf numFmtId="168" fontId="77" fillId="2" borderId="3" xfId="0" applyNumberFormat="1" applyFont="1" applyFill="1" applyBorder="1" applyAlignment="1">
      <alignment horizontal="center" vertical="center" wrapText="1"/>
    </xf>
    <xf numFmtId="0" fontId="77" fillId="0" borderId="3" xfId="0" applyFont="1" applyBorder="1" applyAlignment="1">
      <alignment horizontal="center" vertical="center" wrapText="1"/>
    </xf>
    <xf numFmtId="0" fontId="103" fillId="0" borderId="1" xfId="0" applyFont="1" applyBorder="1" applyAlignment="1">
      <alignment horizontal="center" vertical="center" wrapText="1"/>
    </xf>
    <xf numFmtId="1" fontId="25" fillId="0" borderId="1" xfId="1" applyNumberFormat="1" applyFont="1" applyFill="1" applyBorder="1" applyAlignment="1">
      <alignment horizontal="center" vertical="center" wrapText="1"/>
    </xf>
    <xf numFmtId="167" fontId="94" fillId="0" borderId="1" xfId="1" applyNumberFormat="1" applyFont="1" applyFill="1" applyBorder="1" applyAlignment="1">
      <alignment horizontal="center" vertical="center" wrapText="1"/>
    </xf>
    <xf numFmtId="0" fontId="6" fillId="0" borderId="0" xfId="0" applyFont="1" applyFill="1" applyAlignment="1">
      <alignment vertical="center" wrapText="1"/>
    </xf>
    <xf numFmtId="0" fontId="23" fillId="0" borderId="0" xfId="0" applyFont="1" applyFill="1"/>
    <xf numFmtId="0" fontId="6" fillId="0" borderId="0" xfId="0" applyFont="1" applyFill="1"/>
    <xf numFmtId="0" fontId="6" fillId="0" borderId="0" xfId="0" applyFont="1" applyFill="1" applyBorder="1"/>
    <xf numFmtId="0" fontId="75" fillId="0" borderId="8" xfId="0" applyFont="1" applyFill="1" applyBorder="1" applyAlignment="1">
      <alignment horizontal="center" vertical="center" wrapText="1"/>
    </xf>
    <xf numFmtId="0" fontId="110" fillId="0" borderId="8" xfId="0" applyFont="1" applyFill="1" applyBorder="1" applyAlignment="1">
      <alignment horizontal="center" vertical="center" wrapText="1"/>
    </xf>
    <xf numFmtId="0" fontId="61" fillId="0" borderId="0" xfId="0" applyFont="1" applyFill="1"/>
    <xf numFmtId="167" fontId="6" fillId="0" borderId="0" xfId="0" applyNumberFormat="1" applyFont="1" applyFill="1"/>
    <xf numFmtId="1" fontId="2" fillId="0" borderId="1" xfId="0" applyNumberFormat="1" applyFont="1" applyFill="1" applyBorder="1" applyAlignment="1">
      <alignment horizontal="right" vertical="center" wrapText="1"/>
    </xf>
    <xf numFmtId="167" fontId="109" fillId="0" borderId="1" xfId="1" applyNumberFormat="1" applyFont="1" applyFill="1" applyBorder="1" applyAlignment="1">
      <alignment vertical="center" wrapText="1"/>
    </xf>
    <xf numFmtId="0" fontId="4" fillId="0" borderId="1" xfId="9" applyFont="1" applyFill="1" applyBorder="1" applyAlignment="1">
      <alignment horizontal="left" vertical="center" wrapText="1"/>
    </xf>
    <xf numFmtId="1" fontId="91" fillId="0" borderId="1" xfId="0" applyNumberFormat="1" applyFont="1" applyFill="1" applyBorder="1" applyAlignment="1">
      <alignment horizontal="center" vertical="center"/>
    </xf>
    <xf numFmtId="167" fontId="111" fillId="0" borderId="5" xfId="46" applyNumberFormat="1" applyFont="1" applyFill="1" applyBorder="1" applyAlignment="1">
      <alignment horizontal="left" vertical="center" wrapText="1"/>
    </xf>
    <xf numFmtId="0" fontId="90" fillId="0" borderId="1" xfId="0" applyFont="1" applyFill="1" applyBorder="1"/>
    <xf numFmtId="0" fontId="112" fillId="0" borderId="1" xfId="0" applyFont="1" applyFill="1" applyBorder="1"/>
    <xf numFmtId="0" fontId="89" fillId="0" borderId="0" xfId="0" applyFont="1" applyFill="1"/>
    <xf numFmtId="167" fontId="75" fillId="0" borderId="5" xfId="46" applyNumberFormat="1" applyFont="1" applyFill="1" applyBorder="1" applyAlignment="1">
      <alignment horizontal="left" vertical="center" wrapText="1"/>
    </xf>
    <xf numFmtId="167" fontId="113" fillId="0" borderId="0" xfId="78" applyNumberFormat="1" applyFont="1" applyFill="1" applyBorder="1" applyAlignment="1"/>
    <xf numFmtId="167" fontId="62" fillId="0" borderId="0" xfId="78" applyNumberFormat="1" applyFont="1" applyFill="1" applyBorder="1" applyAlignment="1">
      <alignment horizontal="left"/>
    </xf>
    <xf numFmtId="167" fontId="72" fillId="0" borderId="1" xfId="78" applyNumberFormat="1" applyFont="1" applyFill="1" applyBorder="1" applyAlignment="1">
      <alignment horizontal="center" vertical="center" wrapText="1"/>
    </xf>
    <xf numFmtId="167" fontId="9" fillId="0" borderId="1" xfId="78" applyNumberFormat="1" applyFont="1" applyFill="1" applyBorder="1" applyAlignment="1">
      <alignment horizontal="center" vertical="center" wrapText="1"/>
    </xf>
    <xf numFmtId="0" fontId="72" fillId="0" borderId="0" xfId="6" applyFont="1" applyFill="1"/>
    <xf numFmtId="0" fontId="62" fillId="0" borderId="1" xfId="0" applyFont="1" applyFill="1" applyBorder="1" applyAlignment="1">
      <alignment horizontal="center" vertical="center"/>
    </xf>
    <xf numFmtId="0" fontId="114" fillId="0" borderId="1" xfId="0" applyFont="1" applyFill="1" applyBorder="1" applyAlignment="1">
      <alignment horizontal="center" vertical="center" wrapText="1"/>
    </xf>
    <xf numFmtId="0" fontId="70" fillId="0" borderId="1" xfId="0" quotePrefix="1" applyFont="1" applyFill="1" applyBorder="1" applyAlignment="1">
      <alignment horizontal="center" vertical="center" wrapText="1"/>
    </xf>
    <xf numFmtId="0" fontId="109" fillId="0" borderId="1" xfId="0" quotePrefix="1" applyFont="1" applyFill="1" applyBorder="1" applyAlignment="1">
      <alignment horizontal="center" vertical="center" wrapText="1"/>
    </xf>
    <xf numFmtId="0" fontId="109" fillId="0" borderId="1" xfId="0" applyFont="1" applyFill="1" applyBorder="1" applyAlignment="1">
      <alignment horizontal="center" vertical="center" wrapText="1"/>
    </xf>
    <xf numFmtId="167" fontId="32" fillId="2" borderId="1" xfId="46" applyNumberFormat="1" applyFont="1" applyFill="1" applyBorder="1" applyAlignment="1">
      <alignment horizontal="left" vertical="center" wrapText="1"/>
    </xf>
    <xf numFmtId="0" fontId="23" fillId="2" borderId="1" xfId="9" applyFont="1" applyFill="1" applyBorder="1" applyAlignment="1">
      <alignment horizontal="center" vertical="center" wrapText="1"/>
    </xf>
    <xf numFmtId="0" fontId="33" fillId="2" borderId="1" xfId="0" applyFont="1" applyFill="1" applyBorder="1" applyAlignment="1">
      <alignment horizontal="center" vertical="center"/>
    </xf>
    <xf numFmtId="167" fontId="17" fillId="2" borderId="1" xfId="78" applyNumberFormat="1" applyFont="1" applyFill="1" applyBorder="1" applyAlignment="1">
      <alignment vertical="center" wrapText="1"/>
    </xf>
    <xf numFmtId="167" fontId="28" fillId="2" borderId="1" xfId="78" applyNumberFormat="1" applyFont="1" applyFill="1" applyBorder="1" applyAlignment="1">
      <alignment vertical="center" wrapText="1"/>
    </xf>
    <xf numFmtId="167" fontId="33" fillId="2" borderId="0" xfId="0" applyNumberFormat="1" applyFont="1" applyFill="1" applyBorder="1" applyAlignment="1">
      <alignment horizontal="center" vertical="center"/>
    </xf>
    <xf numFmtId="167" fontId="14" fillId="2" borderId="0" xfId="0" applyNumberFormat="1" applyFont="1" applyFill="1"/>
    <xf numFmtId="0" fontId="14" fillId="2" borderId="0" xfId="0" applyFont="1" applyFill="1"/>
    <xf numFmtId="1" fontId="17" fillId="2" borderId="1" xfId="0" applyNumberFormat="1" applyFont="1" applyFill="1" applyBorder="1" applyAlignment="1">
      <alignment horizontal="center" vertical="center"/>
    </xf>
    <xf numFmtId="167" fontId="32" fillId="2" borderId="1" xfId="46" applyNumberFormat="1" applyFont="1" applyFill="1" applyBorder="1" applyAlignment="1">
      <alignment horizontal="center" vertical="center" wrapText="1"/>
    </xf>
    <xf numFmtId="2" fontId="59" fillId="2" borderId="1" xfId="78" applyNumberFormat="1" applyFont="1" applyFill="1" applyBorder="1" applyAlignment="1">
      <alignment vertical="center" wrapText="1"/>
    </xf>
    <xf numFmtId="0" fontId="36" fillId="2" borderId="1" xfId="0" applyFont="1" applyFill="1" applyBorder="1" applyAlignment="1">
      <alignment horizontal="center" vertical="center" wrapText="1"/>
    </xf>
    <xf numFmtId="167" fontId="32" fillId="2" borderId="5" xfId="46" applyNumberFormat="1" applyFont="1" applyFill="1" applyBorder="1" applyAlignment="1">
      <alignment horizontal="left" vertical="center" wrapText="1"/>
    </xf>
    <xf numFmtId="0" fontId="14" fillId="2" borderId="1" xfId="0" applyFont="1" applyFill="1" applyBorder="1"/>
    <xf numFmtId="0" fontId="67" fillId="2" borderId="1" xfId="0" applyFont="1" applyFill="1" applyBorder="1"/>
    <xf numFmtId="0" fontId="33" fillId="2" borderId="0" xfId="0" applyFont="1" applyFill="1"/>
    <xf numFmtId="167" fontId="21" fillId="25" borderId="1" xfId="1" applyNumberFormat="1" applyFont="1" applyFill="1" applyBorder="1" applyAlignment="1">
      <alignment horizontal="center" vertical="center" wrapText="1"/>
    </xf>
    <xf numFmtId="0" fontId="29" fillId="0" borderId="1" xfId="0" applyFont="1" applyFill="1" applyBorder="1" applyAlignment="1">
      <alignment horizontal="center" vertical="center" wrapText="1"/>
    </xf>
    <xf numFmtId="167" fontId="29" fillId="0" borderId="1" xfId="1" applyNumberFormat="1" applyFont="1" applyFill="1" applyBorder="1" applyAlignment="1">
      <alignment horizontal="right" vertical="center" wrapText="1"/>
    </xf>
    <xf numFmtId="0" fontId="21" fillId="0" borderId="1" xfId="0" applyFont="1" applyFill="1" applyBorder="1" applyAlignment="1">
      <alignment horizontal="left" vertical="center" wrapText="1"/>
    </xf>
    <xf numFmtId="167" fontId="21" fillId="0" borderId="1" xfId="1" applyNumberFormat="1" applyFont="1" applyFill="1" applyBorder="1" applyAlignment="1">
      <alignment horizontal="right" vertical="center" wrapText="1"/>
    </xf>
    <xf numFmtId="0" fontId="21" fillId="0" borderId="1" xfId="0" applyFont="1" applyFill="1" applyBorder="1"/>
    <xf numFmtId="0" fontId="21" fillId="0" borderId="1" xfId="0" applyFont="1" applyFill="1" applyBorder="1" applyAlignment="1">
      <alignment vertical="center" wrapText="1"/>
    </xf>
    <xf numFmtId="0" fontId="21" fillId="0" borderId="1" xfId="0" applyFont="1" applyFill="1" applyBorder="1" applyAlignment="1">
      <alignment horizontal="center" vertical="center" wrapText="1"/>
    </xf>
    <xf numFmtId="1" fontId="26" fillId="0" borderId="2" xfId="78" applyNumberFormat="1" applyFont="1" applyFill="1" applyBorder="1" applyAlignment="1">
      <alignment horizontal="center" vertical="center" wrapText="1"/>
    </xf>
    <xf numFmtId="167" fontId="16" fillId="0" borderId="3" xfId="78" applyNumberFormat="1" applyFont="1" applyFill="1" applyBorder="1" applyAlignment="1">
      <alignment horizontal="center" vertical="center" wrapText="1"/>
    </xf>
    <xf numFmtId="0" fontId="24" fillId="0" borderId="1" xfId="0" quotePrefix="1" applyFont="1" applyFill="1" applyBorder="1" applyAlignment="1">
      <alignment horizontal="center" vertical="center" wrapText="1"/>
    </xf>
    <xf numFmtId="0" fontId="4" fillId="0" borderId="3" xfId="0" applyFont="1" applyFill="1" applyBorder="1" applyAlignment="1">
      <alignment horizontal="left" vertical="center" wrapText="1"/>
    </xf>
    <xf numFmtId="0" fontId="21" fillId="0" borderId="1" xfId="0" applyFont="1" applyFill="1" applyBorder="1" applyAlignment="1">
      <alignment horizontal="center" vertical="center" wrapText="1"/>
    </xf>
    <xf numFmtId="167" fontId="63" fillId="0" borderId="0" xfId="0" applyNumberFormat="1" applyFont="1" applyFill="1" applyBorder="1" applyAlignment="1">
      <alignment horizontal="center" vertical="center" wrapText="1"/>
    </xf>
    <xf numFmtId="167" fontId="33" fillId="0" borderId="0" xfId="0" applyNumberFormat="1" applyFont="1" applyFill="1" applyBorder="1" applyAlignment="1">
      <alignment horizontal="center" vertical="center" wrapText="1"/>
    </xf>
    <xf numFmtId="167" fontId="33" fillId="2" borderId="0" xfId="0" applyNumberFormat="1" applyFont="1" applyFill="1" applyBorder="1" applyAlignment="1">
      <alignment horizontal="center" vertical="center" wrapText="1"/>
    </xf>
    <xf numFmtId="167" fontId="6" fillId="0" borderId="1" xfId="78" applyNumberFormat="1" applyFont="1" applyFill="1" applyBorder="1" applyAlignment="1">
      <alignment horizontal="left" vertical="center" wrapText="1"/>
    </xf>
    <xf numFmtId="167" fontId="75" fillId="0" borderId="1" xfId="78" applyNumberFormat="1" applyFont="1" applyFill="1" applyBorder="1" applyAlignment="1">
      <alignment horizontal="left" vertical="center" wrapText="1"/>
    </xf>
    <xf numFmtId="167" fontId="28" fillId="0" borderId="0" xfId="1" applyNumberFormat="1" applyFont="1" applyFill="1" applyBorder="1" applyAlignment="1">
      <alignment horizontal="center" vertical="center"/>
    </xf>
    <xf numFmtId="167" fontId="36" fillId="0" borderId="1" xfId="1" applyNumberFormat="1" applyFont="1" applyFill="1" applyBorder="1" applyAlignment="1">
      <alignment horizontal="center" vertical="center" wrapText="1"/>
    </xf>
    <xf numFmtId="164" fontId="36" fillId="0" borderId="1" xfId="1" applyNumberFormat="1" applyFont="1" applyFill="1" applyBorder="1" applyAlignment="1">
      <alignment horizontal="center" vertical="center" wrapText="1"/>
    </xf>
    <xf numFmtId="167" fontId="26" fillId="0" borderId="3" xfId="1" applyNumberFormat="1" applyFont="1" applyFill="1" applyBorder="1" applyAlignment="1">
      <alignment horizontal="center" vertical="center" wrapText="1"/>
    </xf>
    <xf numFmtId="167" fontId="29" fillId="0" borderId="0" xfId="1" applyNumberFormat="1" applyFont="1" applyFill="1" applyBorder="1" applyAlignment="1">
      <alignment horizontal="center" vertical="center"/>
    </xf>
    <xf numFmtId="1" fontId="26" fillId="0" borderId="1" xfId="1" applyNumberFormat="1" applyFont="1" applyFill="1" applyBorder="1" applyAlignment="1">
      <alignment horizontal="center" vertical="center" wrapText="1"/>
    </xf>
    <xf numFmtId="1" fontId="66" fillId="0" borderId="1" xfId="1" applyNumberFormat="1" applyFont="1" applyFill="1" applyBorder="1" applyAlignment="1">
      <alignment horizontal="center" vertical="center" wrapText="1"/>
    </xf>
    <xf numFmtId="1" fontId="62" fillId="0" borderId="1" xfId="1" applyNumberFormat="1" applyFont="1" applyFill="1" applyBorder="1" applyAlignment="1">
      <alignment horizontal="center" vertical="center" wrapText="1"/>
    </xf>
    <xf numFmtId="167" fontId="36" fillId="0" borderId="1" xfId="5" applyNumberFormat="1" applyFont="1" applyFill="1" applyBorder="1" applyAlignment="1">
      <alignment horizontal="center" vertical="center" wrapText="1"/>
    </xf>
    <xf numFmtId="167" fontId="25" fillId="0" borderId="1" xfId="1" applyNumberFormat="1" applyFont="1" applyFill="1" applyBorder="1" applyAlignment="1">
      <alignment horizontal="center" vertical="center" wrapText="1"/>
    </xf>
    <xf numFmtId="0" fontId="6" fillId="0" borderId="1" xfId="6" applyFont="1" applyFill="1" applyBorder="1" applyAlignment="1">
      <alignment vertical="center" wrapText="1"/>
    </xf>
    <xf numFmtId="0" fontId="115" fillId="0" borderId="1" xfId="0" applyFont="1" applyFill="1" applyBorder="1" applyAlignment="1">
      <alignment horizontal="center" vertical="center" wrapText="1"/>
    </xf>
    <xf numFmtId="1" fontId="2" fillId="0" borderId="1" xfId="8" applyNumberFormat="1" applyFont="1" applyFill="1" applyBorder="1" applyAlignment="1">
      <alignment horizontal="left" vertical="center" wrapText="1"/>
    </xf>
    <xf numFmtId="0" fontId="2" fillId="0" borderId="1" xfId="9" applyFont="1" applyFill="1" applyBorder="1" applyAlignment="1">
      <alignment horizontal="center" vertical="center" wrapText="1"/>
    </xf>
    <xf numFmtId="3" fontId="11" fillId="0" borderId="1" xfId="0" applyNumberFormat="1" applyFont="1" applyFill="1" applyBorder="1" applyAlignment="1">
      <alignment horizontal="right" vertical="center" wrapText="1"/>
    </xf>
    <xf numFmtId="167" fontId="2" fillId="0" borderId="1" xfId="5" applyNumberFormat="1" applyFont="1" applyFill="1" applyBorder="1" applyAlignment="1">
      <alignment horizontal="right" vertical="center" wrapText="1"/>
    </xf>
    <xf numFmtId="1" fontId="2" fillId="0" borderId="1" xfId="8" quotePrefix="1" applyNumberFormat="1" applyFont="1" applyFill="1" applyBorder="1" applyAlignment="1">
      <alignment horizontal="left" vertical="center" wrapText="1"/>
    </xf>
    <xf numFmtId="1" fontId="2" fillId="0" borderId="1" xfId="8" quotePrefix="1" applyNumberFormat="1" applyFont="1" applyFill="1" applyBorder="1" applyAlignment="1">
      <alignment horizontal="center" vertical="center" wrapText="1"/>
    </xf>
    <xf numFmtId="167" fontId="4" fillId="0" borderId="1" xfId="10" applyNumberFormat="1" applyFont="1" applyFill="1" applyBorder="1" applyAlignment="1">
      <alignment horizontal="right" vertical="center" wrapText="1"/>
    </xf>
    <xf numFmtId="3" fontId="2" fillId="0" borderId="1" xfId="8" quotePrefix="1" applyNumberFormat="1" applyFont="1" applyFill="1" applyBorder="1" applyAlignment="1">
      <alignment horizontal="right" vertical="center" wrapText="1"/>
    </xf>
    <xf numFmtId="164" fontId="2" fillId="0" borderId="1" xfId="1" quotePrefix="1" applyNumberFormat="1" applyFont="1" applyFill="1" applyBorder="1" applyAlignment="1">
      <alignment horizontal="right" vertical="center" wrapText="1"/>
    </xf>
    <xf numFmtId="0" fontId="4" fillId="0" borderId="1" xfId="63" applyFont="1" applyFill="1" applyBorder="1" applyAlignment="1">
      <alignment horizontal="left" vertical="center" wrapText="1"/>
    </xf>
    <xf numFmtId="167" fontId="12" fillId="0" borderId="1" xfId="1" applyNumberFormat="1" applyFont="1" applyFill="1" applyBorder="1" applyAlignment="1">
      <alignment horizontal="right" vertical="center"/>
    </xf>
    <xf numFmtId="0" fontId="23" fillId="0" borderId="1" xfId="0" applyFont="1" applyFill="1" applyBorder="1" applyAlignment="1">
      <alignment horizontal="center" vertical="center"/>
    </xf>
    <xf numFmtId="0" fontId="72" fillId="0" borderId="1" xfId="0" applyFont="1" applyFill="1" applyBorder="1" applyAlignment="1">
      <alignment horizontal="right" vertical="center" wrapText="1"/>
    </xf>
    <xf numFmtId="167" fontId="37" fillId="0" borderId="1" xfId="1" applyNumberFormat="1" applyFont="1" applyFill="1" applyBorder="1" applyAlignment="1">
      <alignment horizontal="right" vertical="center" wrapText="1"/>
    </xf>
    <xf numFmtId="167" fontId="36" fillId="0" borderId="1" xfId="1" applyNumberFormat="1" applyFont="1" applyFill="1" applyBorder="1" applyAlignment="1">
      <alignment horizontal="right" vertical="center" wrapText="1"/>
    </xf>
    <xf numFmtId="164" fontId="2" fillId="0" borderId="1" xfId="1" applyNumberFormat="1" applyFont="1" applyFill="1" applyBorder="1" applyAlignment="1">
      <alignment horizontal="right" vertical="center" wrapText="1"/>
    </xf>
    <xf numFmtId="0" fontId="5" fillId="0" borderId="0" xfId="0" applyFont="1" applyFill="1"/>
    <xf numFmtId="2" fontId="12" fillId="0" borderId="1" xfId="7" applyNumberFormat="1" applyFont="1" applyFill="1" applyBorder="1" applyAlignment="1">
      <alignment vertical="center" wrapText="1"/>
    </xf>
    <xf numFmtId="167" fontId="23" fillId="0" borderId="1" xfId="78" applyNumberFormat="1" applyFont="1" applyFill="1" applyBorder="1" applyAlignment="1">
      <alignment vertical="center" wrapText="1"/>
    </xf>
    <xf numFmtId="167" fontId="61" fillId="0" borderId="1" xfId="78" applyNumberFormat="1" applyFont="1" applyFill="1" applyBorder="1" applyAlignment="1">
      <alignment horizontal="left" vertical="center" wrapText="1"/>
    </xf>
    <xf numFmtId="0" fontId="59" fillId="0" borderId="1" xfId="9" applyFont="1" applyFill="1" applyBorder="1" applyAlignment="1">
      <alignment horizontal="center" vertical="center" wrapText="1"/>
    </xf>
    <xf numFmtId="167" fontId="59" fillId="0" borderId="1" xfId="78" applyNumberFormat="1" applyFont="1" applyFill="1" applyBorder="1" applyAlignment="1">
      <alignment vertical="center" wrapText="1"/>
    </xf>
    <xf numFmtId="165" fontId="14" fillId="0" borderId="0" xfId="1" applyFont="1" applyFill="1"/>
    <xf numFmtId="0" fontId="77" fillId="0" borderId="4" xfId="0" applyFont="1" applyFill="1" applyBorder="1" applyAlignment="1">
      <alignment horizontal="center" vertical="center" wrapText="1"/>
    </xf>
    <xf numFmtId="0" fontId="77" fillId="0" borderId="5" xfId="0" applyFont="1" applyFill="1" applyBorder="1" applyAlignment="1">
      <alignment horizontal="center" vertical="center" wrapText="1"/>
    </xf>
    <xf numFmtId="0" fontId="77" fillId="0" borderId="7" xfId="0" applyFont="1" applyFill="1" applyBorder="1" applyAlignment="1">
      <alignment horizontal="center" vertical="center" wrapText="1"/>
    </xf>
    <xf numFmtId="0" fontId="77" fillId="0" borderId="1" xfId="0" applyFont="1" applyFill="1" applyBorder="1" applyAlignment="1">
      <alignment horizontal="center" vertical="center" wrapText="1"/>
    </xf>
    <xf numFmtId="0" fontId="92" fillId="0" borderId="0" xfId="0" applyFont="1" applyFill="1" applyAlignment="1">
      <alignment horizontal="center"/>
    </xf>
    <xf numFmtId="0" fontId="78" fillId="0" borderId="0" xfId="0" applyFont="1" applyFill="1" applyAlignment="1">
      <alignment horizontal="center" vertical="center" wrapText="1"/>
    </xf>
    <xf numFmtId="0" fontId="77" fillId="0" borderId="1" xfId="0" applyFont="1" applyFill="1" applyBorder="1" applyAlignment="1">
      <alignment horizontal="left" vertical="center" wrapText="1"/>
    </xf>
    <xf numFmtId="0" fontId="74" fillId="0" borderId="1" xfId="0" applyFont="1" applyFill="1" applyBorder="1" applyAlignment="1">
      <alignment horizontal="left" vertical="center" wrapText="1"/>
    </xf>
    <xf numFmtId="0" fontId="74" fillId="0" borderId="1" xfId="0" applyFont="1" applyFill="1" applyBorder="1" applyAlignment="1">
      <alignment horizontal="center" vertical="center" wrapText="1"/>
    </xf>
    <xf numFmtId="3" fontId="74" fillId="0" borderId="1" xfId="0" applyNumberFormat="1" applyFont="1" applyFill="1" applyBorder="1" applyAlignment="1">
      <alignment horizontal="center" vertical="center"/>
    </xf>
    <xf numFmtId="0" fontId="74" fillId="0" borderId="1" xfId="0" applyNumberFormat="1" applyFont="1" applyFill="1" applyBorder="1" applyAlignment="1">
      <alignment horizontal="left" vertical="center" wrapText="1"/>
    </xf>
    <xf numFmtId="0" fontId="79" fillId="0" borderId="3" xfId="0" applyFont="1" applyFill="1" applyBorder="1" applyAlignment="1">
      <alignment horizontal="center" vertical="center" wrapText="1"/>
    </xf>
    <xf numFmtId="0" fontId="76" fillId="0" borderId="0" xfId="0" applyFont="1" applyFill="1" applyAlignment="1">
      <alignment horizontal="left" vertical="center" wrapText="1"/>
    </xf>
    <xf numFmtId="0" fontId="24" fillId="0" borderId="0" xfId="0" applyFont="1" applyFill="1" applyAlignment="1">
      <alignment horizontal="left" vertical="center" wrapText="1"/>
    </xf>
    <xf numFmtId="0" fontId="24" fillId="0" borderId="0" xfId="0" applyFont="1" applyFill="1" applyAlignment="1">
      <alignment horizontal="center"/>
    </xf>
    <xf numFmtId="3" fontId="77" fillId="0" borderId="1" xfId="0" applyNumberFormat="1" applyFont="1" applyFill="1" applyBorder="1" applyAlignment="1">
      <alignment horizontal="center" vertical="center"/>
    </xf>
    <xf numFmtId="1" fontId="8" fillId="0" borderId="1" xfId="8" applyNumberFormat="1" applyFont="1" applyFill="1" applyBorder="1" applyAlignment="1">
      <alignment horizontal="left" vertical="center" wrapText="1"/>
    </xf>
    <xf numFmtId="0" fontId="117" fillId="0" borderId="1" xfId="9" applyFont="1" applyFill="1" applyBorder="1" applyAlignment="1">
      <alignment horizontal="center" vertical="center" wrapText="1"/>
    </xf>
    <xf numFmtId="0" fontId="117" fillId="0" borderId="1" xfId="6" applyFont="1" applyFill="1" applyBorder="1" applyAlignment="1">
      <alignment horizontal="right" vertical="center" wrapText="1"/>
    </xf>
    <xf numFmtId="0" fontId="118" fillId="0" borderId="1" xfId="0" applyFont="1" applyFill="1" applyBorder="1" applyAlignment="1">
      <alignment horizontal="center" vertical="center" wrapText="1"/>
    </xf>
    <xf numFmtId="1" fontId="16" fillId="0" borderId="1" xfId="8" applyNumberFormat="1" applyFont="1" applyFill="1" applyBorder="1" applyAlignment="1">
      <alignment horizontal="left" vertical="center" wrapText="1"/>
    </xf>
    <xf numFmtId="0" fontId="117" fillId="0" borderId="1" xfId="0" applyFont="1" applyFill="1" applyBorder="1" applyAlignment="1">
      <alignment horizontal="right" vertical="center"/>
    </xf>
    <xf numFmtId="0" fontId="9" fillId="0" borderId="1" xfId="0" applyFont="1" applyFill="1" applyBorder="1" applyAlignment="1">
      <alignment horizontal="right" vertical="center" wrapText="1"/>
    </xf>
    <xf numFmtId="0" fontId="2" fillId="0" borderId="1" xfId="0" applyFont="1" applyBorder="1" applyAlignment="1">
      <alignment horizontal="left" vertical="center" wrapText="1"/>
    </xf>
    <xf numFmtId="0" fontId="119" fillId="0" borderId="1" xfId="0" applyFont="1" applyBorder="1" applyAlignment="1">
      <alignment horizontal="left" vertical="center" wrapText="1"/>
    </xf>
    <xf numFmtId="0" fontId="72" fillId="0" borderId="1" xfId="9" applyFont="1" applyFill="1" applyBorder="1" applyAlignment="1">
      <alignment horizontal="center" vertical="center" wrapText="1"/>
    </xf>
    <xf numFmtId="0" fontId="59" fillId="0" borderId="1" xfId="0" applyFont="1" applyFill="1" applyBorder="1" applyAlignment="1">
      <alignment horizontal="center" vertical="center"/>
    </xf>
    <xf numFmtId="1" fontId="108" fillId="0" borderId="1" xfId="0" applyNumberFormat="1" applyFont="1" applyFill="1" applyBorder="1" applyAlignment="1">
      <alignment horizontal="center" vertical="center"/>
    </xf>
    <xf numFmtId="167" fontId="26" fillId="0" borderId="2" xfId="78" applyNumberFormat="1" applyFont="1" applyFill="1" applyBorder="1" applyAlignment="1">
      <alignment horizontal="center" vertical="center" wrapText="1"/>
    </xf>
    <xf numFmtId="167" fontId="33" fillId="0" borderId="1" xfId="78" applyNumberFormat="1" applyFont="1" applyFill="1" applyBorder="1" applyAlignment="1">
      <alignment horizontal="center" vertical="center" wrapText="1"/>
    </xf>
    <xf numFmtId="167" fontId="28" fillId="0" borderId="0" xfId="78" applyNumberFormat="1" applyFont="1" applyFill="1" applyBorder="1" applyAlignment="1">
      <alignment horizontal="right" vertical="center"/>
    </xf>
    <xf numFmtId="1" fontId="26" fillId="0" borderId="1" xfId="78" applyNumberFormat="1" applyFont="1" applyFill="1" applyBorder="1" applyAlignment="1">
      <alignment horizontal="center" vertical="center" wrapText="1"/>
    </xf>
    <xf numFmtId="167" fontId="30" fillId="0" borderId="0" xfId="78" applyNumberFormat="1" applyFont="1" applyFill="1" applyBorder="1" applyAlignment="1">
      <alignment horizontal="center"/>
    </xf>
    <xf numFmtId="167" fontId="17" fillId="0" borderId="0" xfId="78" applyNumberFormat="1" applyFont="1" applyFill="1" applyBorder="1" applyAlignment="1">
      <alignment horizontal="center"/>
    </xf>
    <xf numFmtId="167" fontId="28" fillId="0" borderId="0" xfId="78" applyNumberFormat="1" applyFont="1" applyFill="1" applyBorder="1" applyAlignment="1">
      <alignment horizontal="center"/>
    </xf>
    <xf numFmtId="167" fontId="59" fillId="0" borderId="1" xfId="78" applyNumberFormat="1" applyFont="1" applyFill="1" applyBorder="1" applyAlignment="1">
      <alignment horizontal="center" vertical="center" wrapText="1"/>
    </xf>
    <xf numFmtId="167" fontId="32" fillId="0" borderId="1" xfId="78" applyNumberFormat="1" applyFont="1" applyFill="1" applyBorder="1" applyAlignment="1">
      <alignment horizontal="center" vertical="center" wrapText="1"/>
    </xf>
    <xf numFmtId="167" fontId="62" fillId="0" borderId="1" xfId="78" applyNumberFormat="1" applyFont="1" applyFill="1" applyBorder="1" applyAlignment="1">
      <alignment horizontal="center" vertical="center" wrapText="1"/>
    </xf>
    <xf numFmtId="0" fontId="32" fillId="0" borderId="1" xfId="78" applyNumberFormat="1" applyFont="1" applyFill="1" applyBorder="1" applyAlignment="1">
      <alignment horizontal="center" vertical="center" wrapText="1"/>
    </xf>
    <xf numFmtId="167" fontId="32" fillId="0" borderId="4" xfId="78" applyNumberFormat="1" applyFont="1" applyFill="1" applyBorder="1" applyAlignment="1">
      <alignment horizontal="center" vertical="center" wrapText="1"/>
    </xf>
    <xf numFmtId="167" fontId="32" fillId="0" borderId="2" xfId="78" applyNumberFormat="1" applyFont="1" applyFill="1" applyBorder="1" applyAlignment="1">
      <alignment horizontal="center" vertical="center" wrapText="1"/>
    </xf>
    <xf numFmtId="167" fontId="32" fillId="0" borderId="3" xfId="78" applyNumberFormat="1" applyFont="1" applyFill="1" applyBorder="1" applyAlignment="1">
      <alignment horizontal="center" vertical="center" wrapText="1"/>
    </xf>
    <xf numFmtId="0" fontId="33" fillId="0" borderId="3" xfId="78" applyNumberFormat="1" applyFont="1" applyFill="1" applyBorder="1" applyAlignment="1">
      <alignment horizontal="center" vertical="center" wrapText="1"/>
    </xf>
    <xf numFmtId="169" fontId="97" fillId="0" borderId="0" xfId="0" applyNumberFormat="1" applyFont="1"/>
    <xf numFmtId="168" fontId="96" fillId="0" borderId="0" xfId="0" applyNumberFormat="1" applyFont="1" applyAlignment="1">
      <alignment vertical="center" wrapText="1"/>
    </xf>
    <xf numFmtId="0" fontId="74" fillId="0" borderId="1" xfId="6" applyFont="1" applyFill="1" applyBorder="1" applyAlignment="1">
      <alignment horizontal="left" wrapText="1"/>
    </xf>
    <xf numFmtId="167" fontId="28" fillId="0" borderId="0" xfId="78" applyNumberFormat="1" applyFont="1" applyFill="1" applyBorder="1" applyAlignment="1">
      <alignment horizontal="right" vertical="center"/>
    </xf>
    <xf numFmtId="1" fontId="26" fillId="0" borderId="1" xfId="78" applyNumberFormat="1" applyFont="1" applyFill="1" applyBorder="1" applyAlignment="1">
      <alignment horizontal="center" vertical="center" wrapText="1"/>
    </xf>
    <xf numFmtId="167" fontId="26" fillId="0" borderId="2" xfId="78" applyNumberFormat="1" applyFont="1" applyFill="1" applyBorder="1" applyAlignment="1">
      <alignment horizontal="center" vertical="center" wrapText="1"/>
    </xf>
    <xf numFmtId="167" fontId="33" fillId="0" borderId="1" xfId="78" applyNumberFormat="1" applyFont="1" applyFill="1" applyBorder="1" applyAlignment="1">
      <alignment horizontal="center" vertical="center" wrapText="1"/>
    </xf>
    <xf numFmtId="167" fontId="32" fillId="0" borderId="2" xfId="78" applyNumberFormat="1" applyFont="1" applyFill="1" applyBorder="1" applyAlignment="1">
      <alignment horizontal="center" vertical="center" wrapText="1"/>
    </xf>
    <xf numFmtId="167" fontId="32" fillId="0" borderId="3" xfId="78" applyNumberFormat="1" applyFont="1" applyFill="1" applyBorder="1" applyAlignment="1">
      <alignment horizontal="center" vertical="center" wrapText="1"/>
    </xf>
    <xf numFmtId="167" fontId="32" fillId="0" borderId="1" xfId="78" applyNumberFormat="1" applyFont="1" applyFill="1" applyBorder="1" applyAlignment="1">
      <alignment horizontal="center" vertical="center" wrapText="1"/>
    </xf>
    <xf numFmtId="167" fontId="93" fillId="0" borderId="3" xfId="78" applyNumberFormat="1" applyFont="1" applyFill="1" applyBorder="1" applyAlignment="1">
      <alignment horizontal="center" vertical="center" wrapText="1"/>
    </xf>
    <xf numFmtId="167" fontId="8" fillId="0" borderId="1" xfId="1" applyNumberFormat="1" applyFont="1" applyFill="1" applyBorder="1" applyAlignment="1">
      <alignment horizontal="center" vertical="center" wrapText="1"/>
    </xf>
    <xf numFmtId="167" fontId="59" fillId="0" borderId="0" xfId="78" applyNumberFormat="1" applyFont="1" applyFill="1" applyBorder="1" applyAlignment="1">
      <alignment vertical="center" wrapText="1"/>
    </xf>
    <xf numFmtId="167" fontId="59" fillId="0" borderId="0" xfId="78" applyNumberFormat="1" applyFont="1" applyFill="1" applyBorder="1" applyAlignment="1">
      <alignment horizontal="center" vertical="center" wrapText="1"/>
    </xf>
    <xf numFmtId="1" fontId="32" fillId="0" borderId="1" xfId="78" applyNumberFormat="1" applyFont="1" applyFill="1" applyBorder="1" applyAlignment="1">
      <alignment horizontal="center" vertical="center" wrapText="1"/>
    </xf>
    <xf numFmtId="1" fontId="33" fillId="0" borderId="1" xfId="78" applyNumberFormat="1" applyFont="1" applyFill="1" applyBorder="1" applyAlignment="1">
      <alignment horizontal="center" vertical="center" wrapText="1"/>
    </xf>
    <xf numFmtId="0" fontId="59" fillId="0" borderId="0" xfId="0" applyFont="1" applyFill="1"/>
    <xf numFmtId="167" fontId="59" fillId="0" borderId="0" xfId="0" applyNumberFormat="1" applyFont="1" applyFill="1"/>
    <xf numFmtId="0" fontId="28" fillId="0" borderId="1" xfId="75" applyFont="1" applyFill="1" applyBorder="1" applyAlignment="1">
      <alignment horizontal="left" vertical="center" wrapText="1"/>
    </xf>
    <xf numFmtId="167" fontId="30" fillId="0" borderId="1" xfId="0" applyNumberFormat="1" applyFont="1" applyFill="1" applyBorder="1" applyAlignment="1">
      <alignment horizontal="center" vertical="center" wrapText="1"/>
    </xf>
    <xf numFmtId="167" fontId="35" fillId="0" borderId="1" xfId="0" applyNumberFormat="1" applyFont="1" applyFill="1" applyBorder="1" applyAlignment="1">
      <alignment horizontal="center" vertical="center" wrapText="1"/>
    </xf>
    <xf numFmtId="167" fontId="108" fillId="0" borderId="0" xfId="0" applyNumberFormat="1" applyFont="1" applyFill="1"/>
    <xf numFmtId="0" fontId="120" fillId="0" borderId="0" xfId="0" applyFont="1" applyFill="1"/>
    <xf numFmtId="167" fontId="31" fillId="0" borderId="0" xfId="0" applyNumberFormat="1" applyFont="1" applyFill="1"/>
    <xf numFmtId="0" fontId="60" fillId="0" borderId="0" xfId="0" applyFont="1" applyFill="1"/>
    <xf numFmtId="167" fontId="32" fillId="0" borderId="0" xfId="0" applyNumberFormat="1" applyFont="1" applyFill="1"/>
    <xf numFmtId="0" fontId="121" fillId="0" borderId="0" xfId="0" applyFont="1" applyFill="1"/>
    <xf numFmtId="0" fontId="28" fillId="0" borderId="1" xfId="63" applyFont="1" applyFill="1" applyBorder="1" applyAlignment="1">
      <alignment horizontal="left" vertical="center" wrapText="1"/>
    </xf>
    <xf numFmtId="0" fontId="23" fillId="0" borderId="1" xfId="0" applyFont="1" applyFill="1" applyBorder="1" applyAlignment="1">
      <alignment horizontal="center" wrapText="1"/>
    </xf>
    <xf numFmtId="0" fontId="2" fillId="0" borderId="1" xfId="0" quotePrefix="1" applyFont="1" applyFill="1" applyBorder="1" applyAlignment="1">
      <alignment horizontal="center" vertical="center" wrapText="1"/>
    </xf>
    <xf numFmtId="1" fontId="4" fillId="0" borderId="0" xfId="8" applyNumberFormat="1" applyFont="1" applyFill="1" applyBorder="1" applyAlignment="1">
      <alignment horizontal="left" vertical="center" wrapText="1"/>
    </xf>
    <xf numFmtId="167" fontId="6" fillId="0" borderId="0" xfId="0" applyNumberFormat="1" applyFont="1" applyFill="1" applyAlignment="1">
      <alignment horizontal="center"/>
    </xf>
    <xf numFmtId="0" fontId="6" fillId="0" borderId="0" xfId="0" applyFont="1" applyFill="1" applyAlignment="1">
      <alignment horizontal="center"/>
    </xf>
    <xf numFmtId="0" fontId="61" fillId="0" borderId="0" xfId="0" applyFont="1" applyFill="1" applyAlignment="1">
      <alignment horizontal="center" vertical="center" wrapText="1"/>
    </xf>
    <xf numFmtId="0" fontId="75" fillId="0" borderId="0" xfId="0" applyFont="1" applyFill="1" applyBorder="1" applyAlignment="1">
      <alignment horizontal="center" vertical="center" wrapText="1"/>
    </xf>
    <xf numFmtId="0" fontId="75" fillId="0" borderId="8" xfId="0" applyFont="1" applyFill="1" applyBorder="1" applyAlignment="1">
      <alignment horizontal="center" vertical="center" wrapText="1"/>
    </xf>
    <xf numFmtId="0" fontId="21" fillId="0" borderId="1" xfId="0" applyFont="1" applyFill="1" applyBorder="1" applyAlignment="1">
      <alignment horizontal="center" vertical="center" wrapText="1"/>
    </xf>
    <xf numFmtId="167" fontId="33" fillId="0" borderId="23" xfId="78" applyNumberFormat="1" applyFont="1" applyFill="1" applyBorder="1" applyAlignment="1">
      <alignment horizontal="center" vertical="center" wrapText="1"/>
    </xf>
    <xf numFmtId="167" fontId="26" fillId="0" borderId="19" xfId="78" applyNumberFormat="1" applyFont="1" applyFill="1" applyBorder="1" applyAlignment="1">
      <alignment horizontal="center" vertical="center" wrapText="1"/>
    </xf>
    <xf numFmtId="167" fontId="26" fillId="0" borderId="20" xfId="78" applyNumberFormat="1" applyFont="1" applyFill="1" applyBorder="1" applyAlignment="1">
      <alignment horizontal="center" vertical="center" wrapText="1"/>
    </xf>
    <xf numFmtId="167" fontId="26" fillId="0" borderId="21" xfId="78" applyNumberFormat="1" applyFont="1" applyFill="1" applyBorder="1" applyAlignment="1">
      <alignment horizontal="center" vertical="center" wrapText="1"/>
    </xf>
    <xf numFmtId="167" fontId="26" fillId="0" borderId="18" xfId="78" applyNumberFormat="1" applyFont="1" applyFill="1" applyBorder="1" applyAlignment="1">
      <alignment horizontal="center" vertical="center" wrapText="1"/>
    </xf>
    <xf numFmtId="167" fontId="26" fillId="0" borderId="8" xfId="78" applyNumberFormat="1" applyFont="1" applyFill="1" applyBorder="1" applyAlignment="1">
      <alignment horizontal="center" vertical="center" wrapText="1"/>
    </xf>
    <xf numFmtId="167" fontId="26" fillId="0" borderId="22" xfId="78" applyNumberFormat="1" applyFont="1" applyFill="1" applyBorder="1" applyAlignment="1">
      <alignment horizontal="center" vertical="center" wrapText="1"/>
    </xf>
    <xf numFmtId="167" fontId="26" fillId="0" borderId="4" xfId="78" applyNumberFormat="1" applyFont="1" applyFill="1" applyBorder="1" applyAlignment="1">
      <alignment horizontal="center" vertical="center" wrapText="1"/>
    </xf>
    <xf numFmtId="167" fontId="26" fillId="0" borderId="2" xfId="78" applyNumberFormat="1" applyFont="1" applyFill="1" applyBorder="1" applyAlignment="1">
      <alignment horizontal="center" vertical="center" wrapText="1"/>
    </xf>
    <xf numFmtId="167" fontId="26" fillId="0" borderId="3" xfId="78" applyNumberFormat="1" applyFont="1" applyFill="1" applyBorder="1" applyAlignment="1">
      <alignment horizontal="center" vertical="center" wrapText="1"/>
    </xf>
    <xf numFmtId="167" fontId="33" fillId="0" borderId="1" xfId="78" applyNumberFormat="1" applyFont="1" applyFill="1" applyBorder="1" applyAlignment="1">
      <alignment horizontal="center" vertical="center" wrapText="1"/>
    </xf>
    <xf numFmtId="167" fontId="26" fillId="0" borderId="5" xfId="78" applyNumberFormat="1" applyFont="1" applyFill="1" applyBorder="1" applyAlignment="1">
      <alignment horizontal="center" vertical="center" wrapText="1"/>
    </xf>
    <xf numFmtId="167" fontId="26" fillId="0" borderId="6" xfId="78" applyNumberFormat="1" applyFont="1" applyFill="1" applyBorder="1" applyAlignment="1">
      <alignment horizontal="center" vertical="center" wrapText="1"/>
    </xf>
    <xf numFmtId="167" fontId="26" fillId="0" borderId="7" xfId="78" applyNumberFormat="1" applyFont="1" applyFill="1" applyBorder="1" applyAlignment="1">
      <alignment horizontal="center" vertical="center" wrapText="1"/>
    </xf>
    <xf numFmtId="167" fontId="36" fillId="0" borderId="1" xfId="78" applyNumberFormat="1" applyFont="1" applyFill="1" applyBorder="1" applyAlignment="1">
      <alignment horizontal="center" vertical="center" wrapText="1"/>
    </xf>
    <xf numFmtId="167" fontId="36" fillId="0" borderId="4" xfId="78" applyNumberFormat="1" applyFont="1" applyFill="1" applyBorder="1" applyAlignment="1">
      <alignment horizontal="center" vertical="center" wrapText="1"/>
    </xf>
    <xf numFmtId="167" fontId="36" fillId="0" borderId="3" xfId="78" applyNumberFormat="1" applyFont="1" applyFill="1" applyBorder="1" applyAlignment="1">
      <alignment horizontal="center" vertical="center" wrapText="1"/>
    </xf>
    <xf numFmtId="167" fontId="26" fillId="0" borderId="1" xfId="78" applyNumberFormat="1" applyFont="1" applyFill="1" applyBorder="1" applyAlignment="1">
      <alignment horizontal="center" vertical="center" wrapText="1"/>
    </xf>
    <xf numFmtId="167" fontId="33" fillId="0" borderId="2" xfId="78" applyNumberFormat="1" applyFont="1" applyFill="1" applyBorder="1" applyAlignment="1">
      <alignment horizontal="center" vertical="center" wrapText="1"/>
    </xf>
    <xf numFmtId="0" fontId="30" fillId="0" borderId="0" xfId="0" applyFont="1" applyFill="1" applyAlignment="1">
      <alignment horizontal="right"/>
    </xf>
    <xf numFmtId="167" fontId="29" fillId="0" borderId="0" xfId="78" applyNumberFormat="1" applyFont="1" applyFill="1" applyBorder="1" applyAlignment="1">
      <alignment horizontal="center" vertical="center"/>
    </xf>
    <xf numFmtId="167" fontId="28" fillId="0" borderId="0" xfId="78" applyNumberFormat="1" applyFont="1" applyFill="1" applyBorder="1" applyAlignment="1">
      <alignment horizontal="center" vertical="center"/>
    </xf>
    <xf numFmtId="167" fontId="28" fillId="0" borderId="0" xfId="78" applyNumberFormat="1" applyFont="1" applyFill="1" applyBorder="1" applyAlignment="1">
      <alignment horizontal="right" vertical="center"/>
    </xf>
    <xf numFmtId="1" fontId="26" fillId="0" borderId="1" xfId="78" applyNumberFormat="1" applyFont="1" applyFill="1" applyBorder="1" applyAlignment="1">
      <alignment horizontal="center" vertical="center" wrapText="1"/>
    </xf>
    <xf numFmtId="1" fontId="36" fillId="0" borderId="1" xfId="78" applyNumberFormat="1" applyFont="1" applyFill="1" applyBorder="1" applyAlignment="1">
      <alignment horizontal="center" vertical="center" wrapText="1"/>
    </xf>
    <xf numFmtId="167" fontId="28" fillId="0" borderId="8" xfId="78" applyNumberFormat="1" applyFont="1" applyFill="1" applyBorder="1" applyAlignment="1">
      <alignment horizontal="center" vertical="center"/>
    </xf>
    <xf numFmtId="1" fontId="32" fillId="0" borderId="1" xfId="78" applyNumberFormat="1" applyFont="1" applyFill="1" applyBorder="1" applyAlignment="1">
      <alignment horizontal="center" vertical="center" wrapText="1"/>
    </xf>
    <xf numFmtId="167" fontId="32" fillId="0" borderId="1" xfId="78" applyNumberFormat="1" applyFont="1" applyFill="1" applyBorder="1" applyAlignment="1">
      <alignment horizontal="center" vertical="center" wrapText="1"/>
    </xf>
    <xf numFmtId="1" fontId="33" fillId="0" borderId="1" xfId="78" applyNumberFormat="1" applyFont="1" applyFill="1" applyBorder="1" applyAlignment="1">
      <alignment horizontal="center" vertical="center" wrapText="1"/>
    </xf>
    <xf numFmtId="167" fontId="93" fillId="0" borderId="19" xfId="78" applyNumberFormat="1" applyFont="1" applyFill="1" applyBorder="1" applyAlignment="1">
      <alignment horizontal="center" vertical="center" wrapText="1"/>
    </xf>
    <xf numFmtId="167" fontId="93" fillId="0" borderId="20" xfId="78" applyNumberFormat="1" applyFont="1" applyFill="1" applyBorder="1" applyAlignment="1">
      <alignment horizontal="center" vertical="center" wrapText="1"/>
    </xf>
    <xf numFmtId="167" fontId="93" fillId="0" borderId="21" xfId="78" applyNumberFormat="1" applyFont="1" applyFill="1" applyBorder="1" applyAlignment="1">
      <alignment horizontal="center" vertical="center" wrapText="1"/>
    </xf>
    <xf numFmtId="167" fontId="93" fillId="0" borderId="18" xfId="78" applyNumberFormat="1" applyFont="1" applyFill="1" applyBorder="1" applyAlignment="1">
      <alignment horizontal="center" vertical="center" wrapText="1"/>
    </xf>
    <xf numFmtId="167" fontId="93" fillId="0" borderId="8" xfId="78" applyNumberFormat="1" applyFont="1" applyFill="1" applyBorder="1" applyAlignment="1">
      <alignment horizontal="center" vertical="center" wrapText="1"/>
    </xf>
    <xf numFmtId="167" fontId="93" fillId="0" borderId="22" xfId="78" applyNumberFormat="1" applyFont="1" applyFill="1" applyBorder="1" applyAlignment="1">
      <alignment horizontal="center" vertical="center" wrapText="1"/>
    </xf>
    <xf numFmtId="167" fontId="93" fillId="0" borderId="4" xfId="78" applyNumberFormat="1" applyFont="1" applyFill="1" applyBorder="1" applyAlignment="1">
      <alignment horizontal="center" vertical="center" wrapText="1"/>
    </xf>
    <xf numFmtId="167" fontId="93" fillId="0" borderId="2" xfId="78" applyNumberFormat="1" applyFont="1" applyFill="1" applyBorder="1" applyAlignment="1">
      <alignment horizontal="center" vertical="center" wrapText="1"/>
    </xf>
    <xf numFmtId="167" fontId="93" fillId="0" borderId="3" xfId="78" applyNumberFormat="1" applyFont="1" applyFill="1" applyBorder="1" applyAlignment="1">
      <alignment horizontal="center" vertical="center" wrapText="1"/>
    </xf>
    <xf numFmtId="0" fontId="30" fillId="0" borderId="0" xfId="0" applyFont="1" applyFill="1" applyAlignment="1">
      <alignment horizontal="center"/>
    </xf>
    <xf numFmtId="167" fontId="32" fillId="0" borderId="19" xfId="78" applyNumberFormat="1" applyFont="1" applyFill="1" applyBorder="1" applyAlignment="1">
      <alignment horizontal="center" vertical="center" wrapText="1"/>
    </xf>
    <xf numFmtId="167" fontId="32" fillId="0" borderId="20" xfId="78" applyNumberFormat="1" applyFont="1" applyFill="1" applyBorder="1" applyAlignment="1">
      <alignment horizontal="center" vertical="center" wrapText="1"/>
    </xf>
    <xf numFmtId="167" fontId="32" fillId="0" borderId="21" xfId="78" applyNumberFormat="1" applyFont="1" applyFill="1" applyBorder="1" applyAlignment="1">
      <alignment horizontal="center" vertical="center" wrapText="1"/>
    </xf>
    <xf numFmtId="167" fontId="32" fillId="0" borderId="18" xfId="78" applyNumberFormat="1" applyFont="1" applyFill="1" applyBorder="1" applyAlignment="1">
      <alignment horizontal="center" vertical="center" wrapText="1"/>
    </xf>
    <xf numFmtId="167" fontId="32" fillId="0" borderId="8" xfId="78" applyNumberFormat="1" applyFont="1" applyFill="1" applyBorder="1" applyAlignment="1">
      <alignment horizontal="center" vertical="center" wrapText="1"/>
    </xf>
    <xf numFmtId="167" fontId="32" fillId="0" borderId="22" xfId="78" applyNumberFormat="1" applyFont="1" applyFill="1" applyBorder="1" applyAlignment="1">
      <alignment horizontal="center" vertical="center" wrapText="1"/>
    </xf>
    <xf numFmtId="167" fontId="32" fillId="0" borderId="4" xfId="78" applyNumberFormat="1" applyFont="1" applyFill="1" applyBorder="1" applyAlignment="1">
      <alignment horizontal="center" vertical="center" wrapText="1"/>
    </xf>
    <xf numFmtId="167" fontId="32" fillId="0" borderId="2" xfId="78" applyNumberFormat="1" applyFont="1" applyFill="1" applyBorder="1" applyAlignment="1">
      <alignment horizontal="center" vertical="center" wrapText="1"/>
    </xf>
    <xf numFmtId="167" fontId="32" fillId="0" borderId="3" xfId="78" applyNumberFormat="1" applyFont="1" applyFill="1" applyBorder="1" applyAlignment="1">
      <alignment horizontal="center" vertical="center" wrapText="1"/>
    </xf>
    <xf numFmtId="167" fontId="32" fillId="0" borderId="5" xfId="78" applyNumberFormat="1" applyFont="1" applyFill="1" applyBorder="1" applyAlignment="1">
      <alignment horizontal="center" vertical="center" wrapText="1"/>
    </xf>
    <xf numFmtId="167" fontId="32" fillId="0" borderId="6" xfId="78" applyNumberFormat="1" applyFont="1" applyFill="1" applyBorder="1" applyAlignment="1">
      <alignment horizontal="center" vertical="center" wrapText="1"/>
    </xf>
    <xf numFmtId="167" fontId="32" fillId="0" borderId="7" xfId="78" applyNumberFormat="1" applyFont="1" applyFill="1" applyBorder="1" applyAlignment="1">
      <alignment horizontal="center" vertical="center" wrapText="1"/>
    </xf>
    <xf numFmtId="167" fontId="30" fillId="0" borderId="0" xfId="78" applyNumberFormat="1" applyFont="1" applyFill="1" applyBorder="1" applyAlignment="1">
      <alignment horizontal="center"/>
    </xf>
    <xf numFmtId="167" fontId="17" fillId="0" borderId="0" xfId="78" applyNumberFormat="1" applyFont="1" applyFill="1" applyBorder="1" applyAlignment="1">
      <alignment horizontal="center"/>
    </xf>
    <xf numFmtId="167" fontId="28" fillId="0" borderId="0" xfId="78" applyNumberFormat="1" applyFont="1" applyFill="1" applyBorder="1" applyAlignment="1">
      <alignment horizontal="center"/>
    </xf>
    <xf numFmtId="167" fontId="32" fillId="0" borderId="0" xfId="78" applyNumberFormat="1" applyFont="1" applyFill="1" applyBorder="1" applyAlignment="1">
      <alignment horizontal="left"/>
    </xf>
    <xf numFmtId="167" fontId="59" fillId="0" borderId="1" xfId="78" applyNumberFormat="1" applyFont="1" applyFill="1" applyBorder="1" applyAlignment="1">
      <alignment horizontal="center" vertical="center" wrapText="1"/>
    </xf>
    <xf numFmtId="167" fontId="62" fillId="0" borderId="4" xfId="78" applyNumberFormat="1" applyFont="1" applyFill="1" applyBorder="1" applyAlignment="1">
      <alignment horizontal="center" vertical="center" wrapText="1"/>
    </xf>
    <xf numFmtId="167" fontId="62" fillId="0" borderId="2" xfId="78" applyNumberFormat="1" applyFont="1" applyFill="1" applyBorder="1" applyAlignment="1">
      <alignment horizontal="center" vertical="center" wrapText="1"/>
    </xf>
    <xf numFmtId="167" fontId="62" fillId="0" borderId="3" xfId="78" applyNumberFormat="1" applyFont="1" applyFill="1" applyBorder="1" applyAlignment="1">
      <alignment horizontal="center" vertical="center" wrapText="1"/>
    </xf>
    <xf numFmtId="167" fontId="62" fillId="0" borderId="1" xfId="78" applyNumberFormat="1" applyFont="1" applyFill="1" applyBorder="1" applyAlignment="1">
      <alignment horizontal="center" vertical="center" wrapText="1"/>
    </xf>
    <xf numFmtId="0" fontId="32" fillId="0" borderId="1" xfId="78" applyNumberFormat="1" applyFont="1" applyFill="1" applyBorder="1" applyAlignment="1">
      <alignment horizontal="center" vertical="center" wrapText="1"/>
    </xf>
    <xf numFmtId="0" fontId="33" fillId="0" borderId="4" xfId="78" applyNumberFormat="1" applyFont="1" applyFill="1" applyBorder="1" applyAlignment="1">
      <alignment horizontal="center" vertical="center" wrapText="1"/>
    </xf>
    <xf numFmtId="0" fontId="33" fillId="0" borderId="2" xfId="78" applyNumberFormat="1" applyFont="1" applyFill="1" applyBorder="1" applyAlignment="1">
      <alignment horizontal="center" vertical="center" wrapText="1"/>
    </xf>
    <xf numFmtId="0" fontId="33" fillId="0" borderId="3" xfId="78" applyNumberFormat="1" applyFont="1" applyFill="1" applyBorder="1" applyAlignment="1">
      <alignment horizontal="center" vertical="center" wrapText="1"/>
    </xf>
    <xf numFmtId="167" fontId="93" fillId="0" borderId="1" xfId="78" applyNumberFormat="1" applyFont="1" applyFill="1" applyBorder="1" applyAlignment="1">
      <alignment horizontal="center" vertical="center" wrapText="1"/>
    </xf>
    <xf numFmtId="167" fontId="59" fillId="0" borderId="4" xfId="78" applyNumberFormat="1" applyFont="1" applyFill="1" applyBorder="1" applyAlignment="1">
      <alignment horizontal="center" vertical="center" wrapText="1"/>
    </xf>
    <xf numFmtId="167" fontId="59" fillId="0" borderId="2" xfId="78" applyNumberFormat="1" applyFont="1" applyFill="1" applyBorder="1" applyAlignment="1">
      <alignment horizontal="center" vertical="center" wrapText="1"/>
    </xf>
    <xf numFmtId="167" fontId="59" fillId="0" borderId="3" xfId="78" applyNumberFormat="1" applyFont="1" applyFill="1" applyBorder="1" applyAlignment="1">
      <alignment horizontal="center" vertical="center" wrapText="1"/>
    </xf>
    <xf numFmtId="167" fontId="8" fillId="0" borderId="4" xfId="1" applyNumberFormat="1" applyFont="1" applyFill="1" applyBorder="1" applyAlignment="1">
      <alignment horizontal="center" vertical="center" wrapText="1"/>
    </xf>
    <xf numFmtId="167" fontId="8" fillId="0" borderId="2" xfId="1" applyNumberFormat="1" applyFont="1" applyFill="1" applyBorder="1" applyAlignment="1">
      <alignment horizontal="center" vertical="center" wrapText="1"/>
    </xf>
    <xf numFmtId="167" fontId="8" fillId="0" borderId="3" xfId="1" applyNumberFormat="1" applyFont="1" applyFill="1" applyBorder="1" applyAlignment="1">
      <alignment horizontal="center" vertical="center" wrapText="1"/>
    </xf>
    <xf numFmtId="164" fontId="8" fillId="0" borderId="4" xfId="1" applyNumberFormat="1" applyFont="1" applyFill="1" applyBorder="1" applyAlignment="1">
      <alignment horizontal="center" vertical="center" wrapText="1"/>
    </xf>
    <xf numFmtId="164" fontId="8" fillId="0" borderId="2" xfId="1" applyNumberFormat="1" applyFont="1" applyFill="1" applyBorder="1" applyAlignment="1">
      <alignment horizontal="center" vertical="center" wrapText="1"/>
    </xf>
    <xf numFmtId="164" fontId="8" fillId="0" borderId="3" xfId="1" applyNumberFormat="1" applyFont="1" applyFill="1" applyBorder="1" applyAlignment="1">
      <alignment horizontal="center" vertical="center" wrapText="1"/>
    </xf>
    <xf numFmtId="167" fontId="8" fillId="0" borderId="19" xfId="1" applyNumberFormat="1" applyFont="1" applyFill="1" applyBorder="1" applyAlignment="1">
      <alignment horizontal="center" vertical="center" wrapText="1"/>
    </xf>
    <xf numFmtId="167" fontId="8" fillId="0" borderId="20" xfId="1" applyNumberFormat="1" applyFont="1" applyFill="1" applyBorder="1" applyAlignment="1">
      <alignment horizontal="center" vertical="center" wrapText="1"/>
    </xf>
    <xf numFmtId="167" fontId="8" fillId="0" borderId="21" xfId="1" applyNumberFormat="1" applyFont="1" applyFill="1" applyBorder="1" applyAlignment="1">
      <alignment horizontal="center" vertical="center" wrapText="1"/>
    </xf>
    <xf numFmtId="167" fontId="8" fillId="0" borderId="18" xfId="1" applyNumberFormat="1" applyFont="1" applyFill="1" applyBorder="1" applyAlignment="1">
      <alignment horizontal="center" vertical="center" wrapText="1"/>
    </xf>
    <xf numFmtId="167" fontId="8" fillId="0" borderId="8" xfId="1" applyNumberFormat="1" applyFont="1" applyFill="1" applyBorder="1" applyAlignment="1">
      <alignment horizontal="center" vertical="center" wrapText="1"/>
    </xf>
    <xf numFmtId="167" fontId="8" fillId="0" borderId="22" xfId="1" applyNumberFormat="1" applyFont="1" applyFill="1" applyBorder="1" applyAlignment="1">
      <alignment horizontal="center" vertical="center" wrapText="1"/>
    </xf>
    <xf numFmtId="0" fontId="17" fillId="0" borderId="0" xfId="0" applyFont="1" applyFill="1" applyAlignment="1">
      <alignment horizontal="left" wrapText="1"/>
    </xf>
    <xf numFmtId="0" fontId="17" fillId="0" borderId="0" xfId="0" applyFont="1" applyFill="1" applyAlignment="1">
      <alignment horizontal="left"/>
    </xf>
    <xf numFmtId="167" fontId="17" fillId="0" borderId="0" xfId="1" applyNumberFormat="1" applyFont="1" applyFill="1" applyBorder="1" applyAlignment="1">
      <alignment horizontal="center" vertical="center"/>
    </xf>
    <xf numFmtId="167" fontId="28" fillId="0" borderId="0" xfId="1" applyNumberFormat="1" applyFont="1" applyFill="1" applyBorder="1" applyAlignment="1">
      <alignment horizontal="center" vertical="center"/>
    </xf>
    <xf numFmtId="167" fontId="28" fillId="0" borderId="0" xfId="1" applyNumberFormat="1" applyFont="1" applyFill="1" applyBorder="1" applyAlignment="1">
      <alignment horizontal="right" vertical="center"/>
    </xf>
    <xf numFmtId="167" fontId="8" fillId="0" borderId="1" xfId="1" applyNumberFormat="1" applyFont="1" applyFill="1" applyBorder="1" applyAlignment="1">
      <alignment horizontal="center" vertical="center" wrapText="1"/>
    </xf>
    <xf numFmtId="1" fontId="8" fillId="0" borderId="4" xfId="1" applyNumberFormat="1" applyFont="1" applyFill="1" applyBorder="1" applyAlignment="1">
      <alignment horizontal="center" vertical="center" wrapText="1"/>
    </xf>
    <xf numFmtId="1" fontId="8" fillId="0" borderId="2" xfId="1" applyNumberFormat="1" applyFont="1" applyFill="1" applyBorder="1" applyAlignment="1">
      <alignment horizontal="center" vertical="center" wrapText="1"/>
    </xf>
    <xf numFmtId="1" fontId="8" fillId="0" borderId="3" xfId="1" applyNumberFormat="1" applyFont="1" applyFill="1" applyBorder="1" applyAlignment="1">
      <alignment horizontal="center" vertical="center" wrapText="1"/>
    </xf>
    <xf numFmtId="167" fontId="8" fillId="0" borderId="4" xfId="5" applyNumberFormat="1" applyFont="1" applyFill="1" applyBorder="1" applyAlignment="1">
      <alignment horizontal="center" vertical="center" wrapText="1"/>
    </xf>
    <xf numFmtId="167" fontId="8" fillId="0" borderId="2" xfId="5" applyNumberFormat="1" applyFont="1" applyFill="1" applyBorder="1" applyAlignment="1">
      <alignment horizontal="center" vertical="center" wrapText="1"/>
    </xf>
    <xf numFmtId="167" fontId="8" fillId="0" borderId="3" xfId="5" applyNumberFormat="1" applyFont="1" applyFill="1" applyBorder="1" applyAlignment="1">
      <alignment horizontal="center" vertical="center" wrapText="1"/>
    </xf>
    <xf numFmtId="167" fontId="28" fillId="0" borderId="8" xfId="1" applyNumberFormat="1" applyFont="1" applyFill="1" applyBorder="1" applyAlignment="1">
      <alignment horizontal="center" vertical="center"/>
    </xf>
    <xf numFmtId="167" fontId="25" fillId="0" borderId="1" xfId="1" applyNumberFormat="1" applyFont="1" applyFill="1" applyBorder="1" applyAlignment="1">
      <alignment horizontal="center" vertical="center" wrapText="1"/>
    </xf>
    <xf numFmtId="167" fontId="36" fillId="0" borderId="1" xfId="1" applyNumberFormat="1" applyFont="1" applyFill="1" applyBorder="1" applyAlignment="1">
      <alignment horizontal="center" vertical="center" wrapText="1"/>
    </xf>
    <xf numFmtId="164" fontId="36" fillId="0" borderId="1" xfId="1" applyNumberFormat="1" applyFont="1" applyFill="1" applyBorder="1" applyAlignment="1">
      <alignment horizontal="center" vertical="center" wrapText="1"/>
    </xf>
    <xf numFmtId="167" fontId="26" fillId="0" borderId="4" xfId="1" applyNumberFormat="1" applyFont="1" applyFill="1" applyBorder="1" applyAlignment="1">
      <alignment horizontal="center" vertical="center" wrapText="1"/>
    </xf>
    <xf numFmtId="167" fontId="26" fillId="0" borderId="2" xfId="1" applyNumberFormat="1" applyFont="1" applyFill="1" applyBorder="1" applyAlignment="1">
      <alignment horizontal="center" vertical="center" wrapText="1"/>
    </xf>
    <xf numFmtId="167" fontId="26" fillId="0" borderId="3" xfId="1" applyNumberFormat="1" applyFont="1" applyFill="1" applyBorder="1" applyAlignment="1">
      <alignment horizontal="center" vertical="center" wrapText="1"/>
    </xf>
    <xf numFmtId="167" fontId="29" fillId="0" borderId="0" xfId="1" applyNumberFormat="1" applyFont="1" applyFill="1" applyBorder="1" applyAlignment="1">
      <alignment horizontal="center" vertical="center"/>
    </xf>
    <xf numFmtId="1" fontId="26" fillId="0" borderId="1" xfId="1" applyNumberFormat="1" applyFont="1" applyFill="1" applyBorder="1" applyAlignment="1">
      <alignment horizontal="center" vertical="center" wrapText="1"/>
    </xf>
    <xf numFmtId="1" fontId="66" fillId="0" borderId="1" xfId="1" applyNumberFormat="1" applyFont="1" applyFill="1" applyBorder="1" applyAlignment="1">
      <alignment horizontal="center" vertical="center" wrapText="1"/>
    </xf>
    <xf numFmtId="1" fontId="62" fillId="0" borderId="1" xfId="1" applyNumberFormat="1" applyFont="1" applyFill="1" applyBorder="1" applyAlignment="1">
      <alignment horizontal="center" vertical="center" wrapText="1"/>
    </xf>
    <xf numFmtId="167" fontId="36" fillId="0" borderId="1" xfId="5" applyNumberFormat="1" applyFont="1" applyFill="1" applyBorder="1" applyAlignment="1">
      <alignment horizontal="center" vertical="center" wrapText="1"/>
    </xf>
    <xf numFmtId="167" fontId="26" fillId="0" borderId="1" xfId="1" applyNumberFormat="1" applyFont="1" applyFill="1" applyBorder="1" applyAlignment="1">
      <alignment horizontal="center" vertical="center" wrapText="1"/>
    </xf>
    <xf numFmtId="0" fontId="30" fillId="0" borderId="0" xfId="0" applyFont="1" applyFill="1" applyAlignment="1">
      <alignment horizontal="right" indent="3"/>
    </xf>
    <xf numFmtId="1" fontId="66" fillId="0" borderId="4" xfId="1" applyNumberFormat="1" applyFont="1" applyFill="1" applyBorder="1" applyAlignment="1">
      <alignment horizontal="center" vertical="center" wrapText="1"/>
    </xf>
    <xf numFmtId="1" fontId="66" fillId="0" borderId="2" xfId="1" applyNumberFormat="1" applyFont="1" applyFill="1" applyBorder="1" applyAlignment="1">
      <alignment horizontal="center" vertical="center" wrapText="1"/>
    </xf>
    <xf numFmtId="1" fontId="66" fillId="0" borderId="3" xfId="1" applyNumberFormat="1" applyFont="1" applyFill="1" applyBorder="1" applyAlignment="1">
      <alignment horizontal="center" vertical="center" wrapText="1"/>
    </xf>
    <xf numFmtId="167" fontId="8" fillId="2" borderId="4" xfId="1" applyNumberFormat="1" applyFont="1" applyFill="1" applyBorder="1" applyAlignment="1">
      <alignment horizontal="center" vertical="center" wrapText="1"/>
    </xf>
    <xf numFmtId="167" fontId="8" fillId="2" borderId="2" xfId="1" applyNumberFormat="1" applyFont="1" applyFill="1" applyBorder="1" applyAlignment="1">
      <alignment horizontal="center" vertical="center" wrapText="1"/>
    </xf>
    <xf numFmtId="167" fontId="8" fillId="2" borderId="3" xfId="1" applyNumberFormat="1" applyFont="1" applyFill="1" applyBorder="1" applyAlignment="1">
      <alignment horizontal="center" vertical="center" wrapText="1"/>
    </xf>
    <xf numFmtId="3" fontId="76" fillId="0" borderId="0" xfId="0" applyNumberFormat="1" applyFont="1" applyBorder="1" applyAlignment="1">
      <alignment horizontal="center"/>
    </xf>
    <xf numFmtId="0" fontId="106" fillId="0" borderId="0" xfId="0" applyFont="1" applyAlignment="1">
      <alignment horizontal="center" vertical="center"/>
    </xf>
    <xf numFmtId="169" fontId="30" fillId="0" borderId="0" xfId="0" applyNumberFormat="1" applyFont="1" applyAlignment="1">
      <alignment horizontal="center"/>
    </xf>
    <xf numFmtId="0" fontId="97" fillId="0" borderId="0" xfId="0" applyFont="1" applyAlignment="1">
      <alignment horizontal="center" vertical="center"/>
    </xf>
    <xf numFmtId="0" fontId="98" fillId="0" borderId="8" xfId="0" applyFont="1" applyBorder="1" applyAlignment="1">
      <alignment horizontal="right" vertical="center"/>
    </xf>
    <xf numFmtId="0" fontId="96" fillId="0" borderId="0" xfId="0" applyFont="1" applyAlignment="1">
      <alignment horizontal="center" vertical="center" wrapText="1"/>
    </xf>
    <xf numFmtId="0" fontId="107" fillId="0" borderId="0" xfId="0" applyFont="1" applyAlignment="1">
      <alignment horizontal="center" vertical="center" wrapText="1"/>
    </xf>
    <xf numFmtId="0" fontId="80" fillId="0" borderId="8" xfId="0" applyFont="1" applyBorder="1" applyAlignment="1">
      <alignment horizontal="center" vertical="center" wrapText="1"/>
    </xf>
    <xf numFmtId="0" fontId="0" fillId="0" borderId="8" xfId="0" applyBorder="1" applyAlignment="1">
      <alignment horizontal="center" vertical="center" wrapText="1"/>
    </xf>
    <xf numFmtId="0" fontId="77" fillId="0" borderId="1" xfId="0" applyFont="1" applyBorder="1" applyAlignment="1">
      <alignment horizontal="center" vertical="center" wrapText="1"/>
    </xf>
    <xf numFmtId="0" fontId="92" fillId="0" borderId="0" xfId="0" applyFont="1" applyFill="1" applyAlignment="1">
      <alignment horizontal="center"/>
    </xf>
    <xf numFmtId="0" fontId="116" fillId="0" borderId="0" xfId="0" applyFont="1" applyFill="1" applyAlignment="1">
      <alignment horizontal="center" vertical="center" wrapText="1"/>
    </xf>
    <xf numFmtId="0" fontId="79" fillId="0" borderId="4" xfId="0" applyFont="1" applyFill="1" applyBorder="1" applyAlignment="1">
      <alignment horizontal="center" vertical="center" wrapText="1"/>
    </xf>
    <xf numFmtId="0" fontId="79" fillId="0" borderId="3" xfId="0" applyFont="1" applyFill="1" applyBorder="1" applyAlignment="1">
      <alignment horizontal="center" vertical="center" wrapText="1"/>
    </xf>
    <xf numFmtId="0" fontId="79" fillId="0" borderId="2" xfId="0" applyFont="1" applyFill="1" applyBorder="1" applyAlignment="1">
      <alignment horizontal="center" vertical="center" wrapText="1"/>
    </xf>
    <xf numFmtId="0" fontId="78" fillId="0" borderId="0" xfId="0" applyFont="1" applyFill="1" applyAlignment="1">
      <alignment horizontal="center" vertical="center" wrapText="1"/>
    </xf>
    <xf numFmtId="0" fontId="79" fillId="0" borderId="1" xfId="0" applyFont="1" applyFill="1" applyBorder="1" applyAlignment="1">
      <alignment horizontal="center" vertical="center" wrapText="1"/>
    </xf>
    <xf numFmtId="0" fontId="77" fillId="0" borderId="0" xfId="0" applyFont="1" applyFill="1" applyAlignment="1">
      <alignment horizontal="center" vertical="center"/>
    </xf>
    <xf numFmtId="0" fontId="77" fillId="0" borderId="4" xfId="0" applyFont="1" applyFill="1" applyBorder="1" applyAlignment="1">
      <alignment horizontal="center" vertical="center" wrapText="1"/>
    </xf>
    <xf numFmtId="0" fontId="77" fillId="0" borderId="2" xfId="0" applyFont="1" applyFill="1" applyBorder="1" applyAlignment="1">
      <alignment horizontal="center" vertical="center" wrapText="1"/>
    </xf>
    <xf numFmtId="0" fontId="77" fillId="0" borderId="3" xfId="0" applyFont="1" applyFill="1" applyBorder="1" applyAlignment="1">
      <alignment horizontal="center" vertical="center" wrapText="1"/>
    </xf>
    <xf numFmtId="0" fontId="77" fillId="0" borderId="5" xfId="0" applyFont="1" applyFill="1" applyBorder="1" applyAlignment="1">
      <alignment horizontal="center" vertical="center" wrapText="1"/>
    </xf>
    <xf numFmtId="0" fontId="77" fillId="0" borderId="7" xfId="0" applyFont="1" applyFill="1" applyBorder="1" applyAlignment="1">
      <alignment horizontal="center" vertical="center" wrapText="1"/>
    </xf>
    <xf numFmtId="0" fontId="77" fillId="0" borderId="1" xfId="0" applyFont="1" applyFill="1" applyBorder="1" applyAlignment="1">
      <alignment horizontal="center" vertical="center" wrapText="1"/>
    </xf>
  </cellXfs>
  <cellStyles count="84">
    <cellStyle name="20% - Accent1 2" xfId="17"/>
    <cellStyle name="20% - Accent2 2" xfId="18"/>
    <cellStyle name="20% - Accent3 2" xfId="19"/>
    <cellStyle name="20% - Accent4 2" xfId="20"/>
    <cellStyle name="20% - Accent5 2" xfId="21"/>
    <cellStyle name="20% - Accent6 2" xfId="22"/>
    <cellStyle name="40% - Accent1 2" xfId="23"/>
    <cellStyle name="40% - Accent2 2" xfId="24"/>
    <cellStyle name="40% - Accent3 2" xfId="25"/>
    <cellStyle name="40% - Accent4 2" xfId="26"/>
    <cellStyle name="40% - Accent5 2" xfId="27"/>
    <cellStyle name="40% - Accent6 2" xfId="28"/>
    <cellStyle name="60% - Accent1 2" xfId="29"/>
    <cellStyle name="60% - Accent2 2" xfId="30"/>
    <cellStyle name="60% - Accent3 2" xfId="31"/>
    <cellStyle name="60% - Accent4 2" xfId="32"/>
    <cellStyle name="60% - Accent5 2" xfId="33"/>
    <cellStyle name="60% - Accent6 2" xfId="34"/>
    <cellStyle name="Accent1 2" xfId="35"/>
    <cellStyle name="Accent2 2" xfId="36"/>
    <cellStyle name="Accent3 2" xfId="37"/>
    <cellStyle name="Accent4 2" xfId="38"/>
    <cellStyle name="Accent5 2" xfId="39"/>
    <cellStyle name="Accent6 2" xfId="40"/>
    <cellStyle name="Bad 2" xfId="41"/>
    <cellStyle name="Calculation 2" xfId="42"/>
    <cellStyle name="Check Cell 2" xfId="43"/>
    <cellStyle name="Comma" xfId="1" builtinId="3"/>
    <cellStyle name="Comma 17 2" xfId="79"/>
    <cellStyle name="Comma 2" xfId="10"/>
    <cellStyle name="Comma 2 10" xfId="82"/>
    <cellStyle name="Comma 2 2" xfId="44"/>
    <cellStyle name="Comma 3" xfId="5"/>
    <cellStyle name="Comma 3 2" xfId="45"/>
    <cellStyle name="Comma 3 3" xfId="78"/>
    <cellStyle name="Comma 3 7" xfId="81"/>
    <cellStyle name="Comma 4" xfId="14"/>
    <cellStyle name="Comma 40" xfId="83"/>
    <cellStyle name="Comma 5" xfId="46"/>
    <cellStyle name="Comma 6" xfId="76"/>
    <cellStyle name="Comma 7" xfId="47"/>
    <cellStyle name="Comma 8" xfId="3"/>
    <cellStyle name="Comma 8 2" xfId="2"/>
    <cellStyle name="Comma 8 3" xfId="48"/>
    <cellStyle name="Explanatory Text 2" xfId="49"/>
    <cellStyle name="Good 2" xfId="50"/>
    <cellStyle name="Heading 1 2" xfId="51"/>
    <cellStyle name="Heading 2 2" xfId="52"/>
    <cellStyle name="Heading 3 2" xfId="53"/>
    <cellStyle name="Heading 4 2" xfId="54"/>
    <cellStyle name="Input 2" xfId="55"/>
    <cellStyle name="Linked Cell 2" xfId="56"/>
    <cellStyle name="Neutral 2" xfId="57"/>
    <cellStyle name="Normal" xfId="0" builtinId="0"/>
    <cellStyle name="Normal 11" xfId="4"/>
    <cellStyle name="Normal 11 2" xfId="6"/>
    <cellStyle name="Normal 11 3" xfId="58"/>
    <cellStyle name="Normal 12" xfId="59"/>
    <cellStyle name="Normal 13" xfId="60"/>
    <cellStyle name="Normal 14" xfId="61"/>
    <cellStyle name="Normal 14 2" xfId="62"/>
    <cellStyle name="Normal 2" xfId="63"/>
    <cellStyle name="Normal 2 10" xfId="64"/>
    <cellStyle name="Normal 2 2" xfId="12"/>
    <cellStyle name="Normal 2 8" xfId="65"/>
    <cellStyle name="Normal 20" xfId="80"/>
    <cellStyle name="Normal 3" xfId="11"/>
    <cellStyle name="Normal 3 2" xfId="66"/>
    <cellStyle name="Normal 4" xfId="67"/>
    <cellStyle name="Normal 4 3" xfId="68"/>
    <cellStyle name="Normal 5" xfId="16"/>
    <cellStyle name="Normal 6" xfId="75"/>
    <cellStyle name="Normal 7" xfId="77"/>
    <cellStyle name="Normal 8" xfId="15"/>
    <cellStyle name="Normal_Bieu mau (CV )" xfId="8"/>
    <cellStyle name="Normal_book1" xfId="9"/>
    <cellStyle name="Normal_danh muc CT NTM 2017 QD 383 UBND HUYEN" xfId="7"/>
    <cellStyle name="Normal_Sheet1" xfId="13"/>
    <cellStyle name="Note 2" xfId="69"/>
    <cellStyle name="Output 2" xfId="70"/>
    <cellStyle name="Percent 2" xfId="71"/>
    <cellStyle name="Title 2" xfId="72"/>
    <cellStyle name="Total 2" xfId="73"/>
    <cellStyle name="Warning Text 2" xfId="7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539750</xdr:colOff>
      <xdr:row>1</xdr:row>
      <xdr:rowOff>306920</xdr:rowOff>
    </xdr:from>
    <xdr:to>
      <xdr:col>1</xdr:col>
      <xdr:colOff>2222500</xdr:colOff>
      <xdr:row>1</xdr:row>
      <xdr:rowOff>306920</xdr:rowOff>
    </xdr:to>
    <xdr:cxnSp macro="">
      <xdr:nvCxnSpPr>
        <xdr:cNvPr id="2" name="Straight Connector 1"/>
        <xdr:cNvCxnSpPr/>
      </xdr:nvCxnSpPr>
      <xdr:spPr>
        <a:xfrm>
          <a:off x="892175" y="602195"/>
          <a:ext cx="16827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topLeftCell="A10" zoomScale="96" zoomScaleNormal="96" workbookViewId="0">
      <selection activeCell="C14" sqref="C14"/>
    </sheetView>
  </sheetViews>
  <sheetFormatPr defaultRowHeight="16.5" x14ac:dyDescent="0.25"/>
  <cols>
    <col min="1" max="1" width="4.85546875" style="403" customWidth="1"/>
    <col min="2" max="2" width="47.85546875" style="403" customWidth="1"/>
    <col min="3" max="8" width="14.7109375" style="403" customWidth="1"/>
    <col min="9" max="9" width="16.42578125" style="402" customWidth="1"/>
    <col min="10" max="11" width="10" style="403" bestFit="1" customWidth="1"/>
    <col min="12" max="256" width="9.140625" style="403"/>
    <col min="257" max="257" width="4.85546875" style="403" customWidth="1"/>
    <col min="258" max="258" width="41.85546875" style="403" customWidth="1"/>
    <col min="259" max="259" width="12.5703125" style="403" customWidth="1"/>
    <col min="260" max="260" width="11.42578125" style="403" customWidth="1"/>
    <col min="261" max="261" width="11.5703125" style="403" customWidth="1"/>
    <col min="262" max="263" width="11.140625" style="403" customWidth="1"/>
    <col min="264" max="264" width="12.42578125" style="403" customWidth="1"/>
    <col min="265" max="265" width="16.42578125" style="403" customWidth="1"/>
    <col min="266" max="267" width="10" style="403" bestFit="1" customWidth="1"/>
    <col min="268" max="512" width="9.140625" style="403"/>
    <col min="513" max="513" width="4.85546875" style="403" customWidth="1"/>
    <col min="514" max="514" width="41.85546875" style="403" customWidth="1"/>
    <col min="515" max="515" width="12.5703125" style="403" customWidth="1"/>
    <col min="516" max="516" width="11.42578125" style="403" customWidth="1"/>
    <col min="517" max="517" width="11.5703125" style="403" customWidth="1"/>
    <col min="518" max="519" width="11.140625" style="403" customWidth="1"/>
    <col min="520" max="520" width="12.42578125" style="403" customWidth="1"/>
    <col min="521" max="521" width="16.42578125" style="403" customWidth="1"/>
    <col min="522" max="523" width="10" style="403" bestFit="1" customWidth="1"/>
    <col min="524" max="768" width="9.140625" style="403"/>
    <col min="769" max="769" width="4.85546875" style="403" customWidth="1"/>
    <col min="770" max="770" width="41.85546875" style="403" customWidth="1"/>
    <col min="771" max="771" width="12.5703125" style="403" customWidth="1"/>
    <col min="772" max="772" width="11.42578125" style="403" customWidth="1"/>
    <col min="773" max="773" width="11.5703125" style="403" customWidth="1"/>
    <col min="774" max="775" width="11.140625" style="403" customWidth="1"/>
    <col min="776" max="776" width="12.42578125" style="403" customWidth="1"/>
    <col min="777" max="777" width="16.42578125" style="403" customWidth="1"/>
    <col min="778" max="779" width="10" style="403" bestFit="1" customWidth="1"/>
    <col min="780" max="1024" width="9.140625" style="403"/>
    <col min="1025" max="1025" width="4.85546875" style="403" customWidth="1"/>
    <col min="1026" max="1026" width="41.85546875" style="403" customWidth="1"/>
    <col min="1027" max="1027" width="12.5703125" style="403" customWidth="1"/>
    <col min="1028" max="1028" width="11.42578125" style="403" customWidth="1"/>
    <col min="1029" max="1029" width="11.5703125" style="403" customWidth="1"/>
    <col min="1030" max="1031" width="11.140625" style="403" customWidth="1"/>
    <col min="1032" max="1032" width="12.42578125" style="403" customWidth="1"/>
    <col min="1033" max="1033" width="16.42578125" style="403" customWidth="1"/>
    <col min="1034" max="1035" width="10" style="403" bestFit="1" customWidth="1"/>
    <col min="1036" max="1280" width="9.140625" style="403"/>
    <col min="1281" max="1281" width="4.85546875" style="403" customWidth="1"/>
    <col min="1282" max="1282" width="41.85546875" style="403" customWidth="1"/>
    <col min="1283" max="1283" width="12.5703125" style="403" customWidth="1"/>
    <col min="1284" max="1284" width="11.42578125" style="403" customWidth="1"/>
    <col min="1285" max="1285" width="11.5703125" style="403" customWidth="1"/>
    <col min="1286" max="1287" width="11.140625" style="403" customWidth="1"/>
    <col min="1288" max="1288" width="12.42578125" style="403" customWidth="1"/>
    <col min="1289" max="1289" width="16.42578125" style="403" customWidth="1"/>
    <col min="1290" max="1291" width="10" style="403" bestFit="1" customWidth="1"/>
    <col min="1292" max="1536" width="9.140625" style="403"/>
    <col min="1537" max="1537" width="4.85546875" style="403" customWidth="1"/>
    <col min="1538" max="1538" width="41.85546875" style="403" customWidth="1"/>
    <col min="1539" max="1539" width="12.5703125" style="403" customWidth="1"/>
    <col min="1540" max="1540" width="11.42578125" style="403" customWidth="1"/>
    <col min="1541" max="1541" width="11.5703125" style="403" customWidth="1"/>
    <col min="1542" max="1543" width="11.140625" style="403" customWidth="1"/>
    <col min="1544" max="1544" width="12.42578125" style="403" customWidth="1"/>
    <col min="1545" max="1545" width="16.42578125" style="403" customWidth="1"/>
    <col min="1546" max="1547" width="10" style="403" bestFit="1" customWidth="1"/>
    <col min="1548" max="1792" width="9.140625" style="403"/>
    <col min="1793" max="1793" width="4.85546875" style="403" customWidth="1"/>
    <col min="1794" max="1794" width="41.85546875" style="403" customWidth="1"/>
    <col min="1795" max="1795" width="12.5703125" style="403" customWidth="1"/>
    <col min="1796" max="1796" width="11.42578125" style="403" customWidth="1"/>
    <col min="1797" max="1797" width="11.5703125" style="403" customWidth="1"/>
    <col min="1798" max="1799" width="11.140625" style="403" customWidth="1"/>
    <col min="1800" max="1800" width="12.42578125" style="403" customWidth="1"/>
    <col min="1801" max="1801" width="16.42578125" style="403" customWidth="1"/>
    <col min="1802" max="1803" width="10" style="403" bestFit="1" customWidth="1"/>
    <col min="1804" max="2048" width="9.140625" style="403"/>
    <col min="2049" max="2049" width="4.85546875" style="403" customWidth="1"/>
    <col min="2050" max="2050" width="41.85546875" style="403" customWidth="1"/>
    <col min="2051" max="2051" width="12.5703125" style="403" customWidth="1"/>
    <col min="2052" max="2052" width="11.42578125" style="403" customWidth="1"/>
    <col min="2053" max="2053" width="11.5703125" style="403" customWidth="1"/>
    <col min="2054" max="2055" width="11.140625" style="403" customWidth="1"/>
    <col min="2056" max="2056" width="12.42578125" style="403" customWidth="1"/>
    <col min="2057" max="2057" width="16.42578125" style="403" customWidth="1"/>
    <col min="2058" max="2059" width="10" style="403" bestFit="1" customWidth="1"/>
    <col min="2060" max="2304" width="9.140625" style="403"/>
    <col min="2305" max="2305" width="4.85546875" style="403" customWidth="1"/>
    <col min="2306" max="2306" width="41.85546875" style="403" customWidth="1"/>
    <col min="2307" max="2307" width="12.5703125" style="403" customWidth="1"/>
    <col min="2308" max="2308" width="11.42578125" style="403" customWidth="1"/>
    <col min="2309" max="2309" width="11.5703125" style="403" customWidth="1"/>
    <col min="2310" max="2311" width="11.140625" style="403" customWidth="1"/>
    <col min="2312" max="2312" width="12.42578125" style="403" customWidth="1"/>
    <col min="2313" max="2313" width="16.42578125" style="403" customWidth="1"/>
    <col min="2314" max="2315" width="10" style="403" bestFit="1" customWidth="1"/>
    <col min="2316" max="2560" width="9.140625" style="403"/>
    <col min="2561" max="2561" width="4.85546875" style="403" customWidth="1"/>
    <col min="2562" max="2562" width="41.85546875" style="403" customWidth="1"/>
    <col min="2563" max="2563" width="12.5703125" style="403" customWidth="1"/>
    <col min="2564" max="2564" width="11.42578125" style="403" customWidth="1"/>
    <col min="2565" max="2565" width="11.5703125" style="403" customWidth="1"/>
    <col min="2566" max="2567" width="11.140625" style="403" customWidth="1"/>
    <col min="2568" max="2568" width="12.42578125" style="403" customWidth="1"/>
    <col min="2569" max="2569" width="16.42578125" style="403" customWidth="1"/>
    <col min="2570" max="2571" width="10" style="403" bestFit="1" customWidth="1"/>
    <col min="2572" max="2816" width="9.140625" style="403"/>
    <col min="2817" max="2817" width="4.85546875" style="403" customWidth="1"/>
    <col min="2818" max="2818" width="41.85546875" style="403" customWidth="1"/>
    <col min="2819" max="2819" width="12.5703125" style="403" customWidth="1"/>
    <col min="2820" max="2820" width="11.42578125" style="403" customWidth="1"/>
    <col min="2821" max="2821" width="11.5703125" style="403" customWidth="1"/>
    <col min="2822" max="2823" width="11.140625" style="403" customWidth="1"/>
    <col min="2824" max="2824" width="12.42578125" style="403" customWidth="1"/>
    <col min="2825" max="2825" width="16.42578125" style="403" customWidth="1"/>
    <col min="2826" max="2827" width="10" style="403" bestFit="1" customWidth="1"/>
    <col min="2828" max="3072" width="9.140625" style="403"/>
    <col min="3073" max="3073" width="4.85546875" style="403" customWidth="1"/>
    <col min="3074" max="3074" width="41.85546875" style="403" customWidth="1"/>
    <col min="3075" max="3075" width="12.5703125" style="403" customWidth="1"/>
    <col min="3076" max="3076" width="11.42578125" style="403" customWidth="1"/>
    <col min="3077" max="3077" width="11.5703125" style="403" customWidth="1"/>
    <col min="3078" max="3079" width="11.140625" style="403" customWidth="1"/>
    <col min="3080" max="3080" width="12.42578125" style="403" customWidth="1"/>
    <col min="3081" max="3081" width="16.42578125" style="403" customWidth="1"/>
    <col min="3082" max="3083" width="10" style="403" bestFit="1" customWidth="1"/>
    <col min="3084" max="3328" width="9.140625" style="403"/>
    <col min="3329" max="3329" width="4.85546875" style="403" customWidth="1"/>
    <col min="3330" max="3330" width="41.85546875" style="403" customWidth="1"/>
    <col min="3331" max="3331" width="12.5703125" style="403" customWidth="1"/>
    <col min="3332" max="3332" width="11.42578125" style="403" customWidth="1"/>
    <col min="3333" max="3333" width="11.5703125" style="403" customWidth="1"/>
    <col min="3334" max="3335" width="11.140625" style="403" customWidth="1"/>
    <col min="3336" max="3336" width="12.42578125" style="403" customWidth="1"/>
    <col min="3337" max="3337" width="16.42578125" style="403" customWidth="1"/>
    <col min="3338" max="3339" width="10" style="403" bestFit="1" customWidth="1"/>
    <col min="3340" max="3584" width="9.140625" style="403"/>
    <col min="3585" max="3585" width="4.85546875" style="403" customWidth="1"/>
    <col min="3586" max="3586" width="41.85546875" style="403" customWidth="1"/>
    <col min="3587" max="3587" width="12.5703125" style="403" customWidth="1"/>
    <col min="3588" max="3588" width="11.42578125" style="403" customWidth="1"/>
    <col min="3589" max="3589" width="11.5703125" style="403" customWidth="1"/>
    <col min="3590" max="3591" width="11.140625" style="403" customWidth="1"/>
    <col min="3592" max="3592" width="12.42578125" style="403" customWidth="1"/>
    <col min="3593" max="3593" width="16.42578125" style="403" customWidth="1"/>
    <col min="3594" max="3595" width="10" style="403" bestFit="1" customWidth="1"/>
    <col min="3596" max="3840" width="9.140625" style="403"/>
    <col min="3841" max="3841" width="4.85546875" style="403" customWidth="1"/>
    <col min="3842" max="3842" width="41.85546875" style="403" customWidth="1"/>
    <col min="3843" max="3843" width="12.5703125" style="403" customWidth="1"/>
    <col min="3844" max="3844" width="11.42578125" style="403" customWidth="1"/>
    <col min="3845" max="3845" width="11.5703125" style="403" customWidth="1"/>
    <col min="3846" max="3847" width="11.140625" style="403" customWidth="1"/>
    <col min="3848" max="3848" width="12.42578125" style="403" customWidth="1"/>
    <col min="3849" max="3849" width="16.42578125" style="403" customWidth="1"/>
    <col min="3850" max="3851" width="10" style="403" bestFit="1" customWidth="1"/>
    <col min="3852" max="4096" width="9.140625" style="403"/>
    <col min="4097" max="4097" width="4.85546875" style="403" customWidth="1"/>
    <col min="4098" max="4098" width="41.85546875" style="403" customWidth="1"/>
    <col min="4099" max="4099" width="12.5703125" style="403" customWidth="1"/>
    <col min="4100" max="4100" width="11.42578125" style="403" customWidth="1"/>
    <col min="4101" max="4101" width="11.5703125" style="403" customWidth="1"/>
    <col min="4102" max="4103" width="11.140625" style="403" customWidth="1"/>
    <col min="4104" max="4104" width="12.42578125" style="403" customWidth="1"/>
    <col min="4105" max="4105" width="16.42578125" style="403" customWidth="1"/>
    <col min="4106" max="4107" width="10" style="403" bestFit="1" customWidth="1"/>
    <col min="4108" max="4352" width="9.140625" style="403"/>
    <col min="4353" max="4353" width="4.85546875" style="403" customWidth="1"/>
    <col min="4354" max="4354" width="41.85546875" style="403" customWidth="1"/>
    <col min="4355" max="4355" width="12.5703125" style="403" customWidth="1"/>
    <col min="4356" max="4356" width="11.42578125" style="403" customWidth="1"/>
    <col min="4357" max="4357" width="11.5703125" style="403" customWidth="1"/>
    <col min="4358" max="4359" width="11.140625" style="403" customWidth="1"/>
    <col min="4360" max="4360" width="12.42578125" style="403" customWidth="1"/>
    <col min="4361" max="4361" width="16.42578125" style="403" customWidth="1"/>
    <col min="4362" max="4363" width="10" style="403" bestFit="1" customWidth="1"/>
    <col min="4364" max="4608" width="9.140625" style="403"/>
    <col min="4609" max="4609" width="4.85546875" style="403" customWidth="1"/>
    <col min="4610" max="4610" width="41.85546875" style="403" customWidth="1"/>
    <col min="4611" max="4611" width="12.5703125" style="403" customWidth="1"/>
    <col min="4612" max="4612" width="11.42578125" style="403" customWidth="1"/>
    <col min="4613" max="4613" width="11.5703125" style="403" customWidth="1"/>
    <col min="4614" max="4615" width="11.140625" style="403" customWidth="1"/>
    <col min="4616" max="4616" width="12.42578125" style="403" customWidth="1"/>
    <col min="4617" max="4617" width="16.42578125" style="403" customWidth="1"/>
    <col min="4618" max="4619" width="10" style="403" bestFit="1" customWidth="1"/>
    <col min="4620" max="4864" width="9.140625" style="403"/>
    <col min="4865" max="4865" width="4.85546875" style="403" customWidth="1"/>
    <col min="4866" max="4866" width="41.85546875" style="403" customWidth="1"/>
    <col min="4867" max="4867" width="12.5703125" style="403" customWidth="1"/>
    <col min="4868" max="4868" width="11.42578125" style="403" customWidth="1"/>
    <col min="4869" max="4869" width="11.5703125" style="403" customWidth="1"/>
    <col min="4870" max="4871" width="11.140625" style="403" customWidth="1"/>
    <col min="4872" max="4872" width="12.42578125" style="403" customWidth="1"/>
    <col min="4873" max="4873" width="16.42578125" style="403" customWidth="1"/>
    <col min="4874" max="4875" width="10" style="403" bestFit="1" customWidth="1"/>
    <col min="4876" max="5120" width="9.140625" style="403"/>
    <col min="5121" max="5121" width="4.85546875" style="403" customWidth="1"/>
    <col min="5122" max="5122" width="41.85546875" style="403" customWidth="1"/>
    <col min="5123" max="5123" width="12.5703125" style="403" customWidth="1"/>
    <col min="5124" max="5124" width="11.42578125" style="403" customWidth="1"/>
    <col min="5125" max="5125" width="11.5703125" style="403" customWidth="1"/>
    <col min="5126" max="5127" width="11.140625" style="403" customWidth="1"/>
    <col min="5128" max="5128" width="12.42578125" style="403" customWidth="1"/>
    <col min="5129" max="5129" width="16.42578125" style="403" customWidth="1"/>
    <col min="5130" max="5131" width="10" style="403" bestFit="1" customWidth="1"/>
    <col min="5132" max="5376" width="9.140625" style="403"/>
    <col min="5377" max="5377" width="4.85546875" style="403" customWidth="1"/>
    <col min="5378" max="5378" width="41.85546875" style="403" customWidth="1"/>
    <col min="5379" max="5379" width="12.5703125" style="403" customWidth="1"/>
    <col min="5380" max="5380" width="11.42578125" style="403" customWidth="1"/>
    <col min="5381" max="5381" width="11.5703125" style="403" customWidth="1"/>
    <col min="5382" max="5383" width="11.140625" style="403" customWidth="1"/>
    <col min="5384" max="5384" width="12.42578125" style="403" customWidth="1"/>
    <col min="5385" max="5385" width="16.42578125" style="403" customWidth="1"/>
    <col min="5386" max="5387" width="10" style="403" bestFit="1" customWidth="1"/>
    <col min="5388" max="5632" width="9.140625" style="403"/>
    <col min="5633" max="5633" width="4.85546875" style="403" customWidth="1"/>
    <col min="5634" max="5634" width="41.85546875" style="403" customWidth="1"/>
    <col min="5635" max="5635" width="12.5703125" style="403" customWidth="1"/>
    <col min="5636" max="5636" width="11.42578125" style="403" customWidth="1"/>
    <col min="5637" max="5637" width="11.5703125" style="403" customWidth="1"/>
    <col min="5638" max="5639" width="11.140625" style="403" customWidth="1"/>
    <col min="5640" max="5640" width="12.42578125" style="403" customWidth="1"/>
    <col min="5641" max="5641" width="16.42578125" style="403" customWidth="1"/>
    <col min="5642" max="5643" width="10" style="403" bestFit="1" customWidth="1"/>
    <col min="5644" max="5888" width="9.140625" style="403"/>
    <col min="5889" max="5889" width="4.85546875" style="403" customWidth="1"/>
    <col min="5890" max="5890" width="41.85546875" style="403" customWidth="1"/>
    <col min="5891" max="5891" width="12.5703125" style="403" customWidth="1"/>
    <col min="5892" max="5892" width="11.42578125" style="403" customWidth="1"/>
    <col min="5893" max="5893" width="11.5703125" style="403" customWidth="1"/>
    <col min="5894" max="5895" width="11.140625" style="403" customWidth="1"/>
    <col min="5896" max="5896" width="12.42578125" style="403" customWidth="1"/>
    <col min="5897" max="5897" width="16.42578125" style="403" customWidth="1"/>
    <col min="5898" max="5899" width="10" style="403" bestFit="1" customWidth="1"/>
    <col min="5900" max="6144" width="9.140625" style="403"/>
    <col min="6145" max="6145" width="4.85546875" style="403" customWidth="1"/>
    <col min="6146" max="6146" width="41.85546875" style="403" customWidth="1"/>
    <col min="6147" max="6147" width="12.5703125" style="403" customWidth="1"/>
    <col min="6148" max="6148" width="11.42578125" style="403" customWidth="1"/>
    <col min="6149" max="6149" width="11.5703125" style="403" customWidth="1"/>
    <col min="6150" max="6151" width="11.140625" style="403" customWidth="1"/>
    <col min="6152" max="6152" width="12.42578125" style="403" customWidth="1"/>
    <col min="6153" max="6153" width="16.42578125" style="403" customWidth="1"/>
    <col min="6154" max="6155" width="10" style="403" bestFit="1" customWidth="1"/>
    <col min="6156" max="6400" width="9.140625" style="403"/>
    <col min="6401" max="6401" width="4.85546875" style="403" customWidth="1"/>
    <col min="6402" max="6402" width="41.85546875" style="403" customWidth="1"/>
    <col min="6403" max="6403" width="12.5703125" style="403" customWidth="1"/>
    <col min="6404" max="6404" width="11.42578125" style="403" customWidth="1"/>
    <col min="6405" max="6405" width="11.5703125" style="403" customWidth="1"/>
    <col min="6406" max="6407" width="11.140625" style="403" customWidth="1"/>
    <col min="6408" max="6408" width="12.42578125" style="403" customWidth="1"/>
    <col min="6409" max="6409" width="16.42578125" style="403" customWidth="1"/>
    <col min="6410" max="6411" width="10" style="403" bestFit="1" customWidth="1"/>
    <col min="6412" max="6656" width="9.140625" style="403"/>
    <col min="6657" max="6657" width="4.85546875" style="403" customWidth="1"/>
    <col min="6658" max="6658" width="41.85546875" style="403" customWidth="1"/>
    <col min="6659" max="6659" width="12.5703125" style="403" customWidth="1"/>
    <col min="6660" max="6660" width="11.42578125" style="403" customWidth="1"/>
    <col min="6661" max="6661" width="11.5703125" style="403" customWidth="1"/>
    <col min="6662" max="6663" width="11.140625" style="403" customWidth="1"/>
    <col min="6664" max="6664" width="12.42578125" style="403" customWidth="1"/>
    <col min="6665" max="6665" width="16.42578125" style="403" customWidth="1"/>
    <col min="6666" max="6667" width="10" style="403" bestFit="1" customWidth="1"/>
    <col min="6668" max="6912" width="9.140625" style="403"/>
    <col min="6913" max="6913" width="4.85546875" style="403" customWidth="1"/>
    <col min="6914" max="6914" width="41.85546875" style="403" customWidth="1"/>
    <col min="6915" max="6915" width="12.5703125" style="403" customWidth="1"/>
    <col min="6916" max="6916" width="11.42578125" style="403" customWidth="1"/>
    <col min="6917" max="6917" width="11.5703125" style="403" customWidth="1"/>
    <col min="6918" max="6919" width="11.140625" style="403" customWidth="1"/>
    <col min="6920" max="6920" width="12.42578125" style="403" customWidth="1"/>
    <col min="6921" max="6921" width="16.42578125" style="403" customWidth="1"/>
    <col min="6922" max="6923" width="10" style="403" bestFit="1" customWidth="1"/>
    <col min="6924" max="7168" width="9.140625" style="403"/>
    <col min="7169" max="7169" width="4.85546875" style="403" customWidth="1"/>
    <col min="7170" max="7170" width="41.85546875" style="403" customWidth="1"/>
    <col min="7171" max="7171" width="12.5703125" style="403" customWidth="1"/>
    <col min="7172" max="7172" width="11.42578125" style="403" customWidth="1"/>
    <col min="7173" max="7173" width="11.5703125" style="403" customWidth="1"/>
    <col min="7174" max="7175" width="11.140625" style="403" customWidth="1"/>
    <col min="7176" max="7176" width="12.42578125" style="403" customWidth="1"/>
    <col min="7177" max="7177" width="16.42578125" style="403" customWidth="1"/>
    <col min="7178" max="7179" width="10" style="403" bestFit="1" customWidth="1"/>
    <col min="7180" max="7424" width="9.140625" style="403"/>
    <col min="7425" max="7425" width="4.85546875" style="403" customWidth="1"/>
    <col min="7426" max="7426" width="41.85546875" style="403" customWidth="1"/>
    <col min="7427" max="7427" width="12.5703125" style="403" customWidth="1"/>
    <col min="7428" max="7428" width="11.42578125" style="403" customWidth="1"/>
    <col min="7429" max="7429" width="11.5703125" style="403" customWidth="1"/>
    <col min="7430" max="7431" width="11.140625" style="403" customWidth="1"/>
    <col min="7432" max="7432" width="12.42578125" style="403" customWidth="1"/>
    <col min="7433" max="7433" width="16.42578125" style="403" customWidth="1"/>
    <col min="7434" max="7435" width="10" style="403" bestFit="1" customWidth="1"/>
    <col min="7436" max="7680" width="9.140625" style="403"/>
    <col min="7681" max="7681" width="4.85546875" style="403" customWidth="1"/>
    <col min="7682" max="7682" width="41.85546875" style="403" customWidth="1"/>
    <col min="7683" max="7683" width="12.5703125" style="403" customWidth="1"/>
    <col min="7684" max="7684" width="11.42578125" style="403" customWidth="1"/>
    <col min="7685" max="7685" width="11.5703125" style="403" customWidth="1"/>
    <col min="7686" max="7687" width="11.140625" style="403" customWidth="1"/>
    <col min="7688" max="7688" width="12.42578125" style="403" customWidth="1"/>
    <col min="7689" max="7689" width="16.42578125" style="403" customWidth="1"/>
    <col min="7690" max="7691" width="10" style="403" bestFit="1" customWidth="1"/>
    <col min="7692" max="7936" width="9.140625" style="403"/>
    <col min="7937" max="7937" width="4.85546875" style="403" customWidth="1"/>
    <col min="7938" max="7938" width="41.85546875" style="403" customWidth="1"/>
    <col min="7939" max="7939" width="12.5703125" style="403" customWidth="1"/>
    <col min="7940" max="7940" width="11.42578125" style="403" customWidth="1"/>
    <col min="7941" max="7941" width="11.5703125" style="403" customWidth="1"/>
    <col min="7942" max="7943" width="11.140625" style="403" customWidth="1"/>
    <col min="7944" max="7944" width="12.42578125" style="403" customWidth="1"/>
    <col min="7945" max="7945" width="16.42578125" style="403" customWidth="1"/>
    <col min="7946" max="7947" width="10" style="403" bestFit="1" customWidth="1"/>
    <col min="7948" max="8192" width="9.140625" style="403"/>
    <col min="8193" max="8193" width="4.85546875" style="403" customWidth="1"/>
    <col min="8194" max="8194" width="41.85546875" style="403" customWidth="1"/>
    <col min="8195" max="8195" width="12.5703125" style="403" customWidth="1"/>
    <col min="8196" max="8196" width="11.42578125" style="403" customWidth="1"/>
    <col min="8197" max="8197" width="11.5703125" style="403" customWidth="1"/>
    <col min="8198" max="8199" width="11.140625" style="403" customWidth="1"/>
    <col min="8200" max="8200" width="12.42578125" style="403" customWidth="1"/>
    <col min="8201" max="8201" width="16.42578125" style="403" customWidth="1"/>
    <col min="8202" max="8203" width="10" style="403" bestFit="1" customWidth="1"/>
    <col min="8204" max="8448" width="9.140625" style="403"/>
    <col min="8449" max="8449" width="4.85546875" style="403" customWidth="1"/>
    <col min="8450" max="8450" width="41.85546875" style="403" customWidth="1"/>
    <col min="8451" max="8451" width="12.5703125" style="403" customWidth="1"/>
    <col min="8452" max="8452" width="11.42578125" style="403" customWidth="1"/>
    <col min="8453" max="8453" width="11.5703125" style="403" customWidth="1"/>
    <col min="8454" max="8455" width="11.140625" style="403" customWidth="1"/>
    <col min="8456" max="8456" width="12.42578125" style="403" customWidth="1"/>
    <col min="8457" max="8457" width="16.42578125" style="403" customWidth="1"/>
    <col min="8458" max="8459" width="10" style="403" bestFit="1" customWidth="1"/>
    <col min="8460" max="8704" width="9.140625" style="403"/>
    <col min="8705" max="8705" width="4.85546875" style="403" customWidth="1"/>
    <col min="8706" max="8706" width="41.85546875" style="403" customWidth="1"/>
    <col min="8707" max="8707" width="12.5703125" style="403" customWidth="1"/>
    <col min="8708" max="8708" width="11.42578125" style="403" customWidth="1"/>
    <col min="8709" max="8709" width="11.5703125" style="403" customWidth="1"/>
    <col min="8710" max="8711" width="11.140625" style="403" customWidth="1"/>
    <col min="8712" max="8712" width="12.42578125" style="403" customWidth="1"/>
    <col min="8713" max="8713" width="16.42578125" style="403" customWidth="1"/>
    <col min="8714" max="8715" width="10" style="403" bestFit="1" customWidth="1"/>
    <col min="8716" max="8960" width="9.140625" style="403"/>
    <col min="8961" max="8961" width="4.85546875" style="403" customWidth="1"/>
    <col min="8962" max="8962" width="41.85546875" style="403" customWidth="1"/>
    <col min="8963" max="8963" width="12.5703125" style="403" customWidth="1"/>
    <col min="8964" max="8964" width="11.42578125" style="403" customWidth="1"/>
    <col min="8965" max="8965" width="11.5703125" style="403" customWidth="1"/>
    <col min="8966" max="8967" width="11.140625" style="403" customWidth="1"/>
    <col min="8968" max="8968" width="12.42578125" style="403" customWidth="1"/>
    <col min="8969" max="8969" width="16.42578125" style="403" customWidth="1"/>
    <col min="8970" max="8971" width="10" style="403" bestFit="1" customWidth="1"/>
    <col min="8972" max="9216" width="9.140625" style="403"/>
    <col min="9217" max="9217" width="4.85546875" style="403" customWidth="1"/>
    <col min="9218" max="9218" width="41.85546875" style="403" customWidth="1"/>
    <col min="9219" max="9219" width="12.5703125" style="403" customWidth="1"/>
    <col min="9220" max="9220" width="11.42578125" style="403" customWidth="1"/>
    <col min="9221" max="9221" width="11.5703125" style="403" customWidth="1"/>
    <col min="9222" max="9223" width="11.140625" style="403" customWidth="1"/>
    <col min="9224" max="9224" width="12.42578125" style="403" customWidth="1"/>
    <col min="9225" max="9225" width="16.42578125" style="403" customWidth="1"/>
    <col min="9226" max="9227" width="10" style="403" bestFit="1" customWidth="1"/>
    <col min="9228" max="9472" width="9.140625" style="403"/>
    <col min="9473" max="9473" width="4.85546875" style="403" customWidth="1"/>
    <col min="9474" max="9474" width="41.85546875" style="403" customWidth="1"/>
    <col min="9475" max="9475" width="12.5703125" style="403" customWidth="1"/>
    <col min="9476" max="9476" width="11.42578125" style="403" customWidth="1"/>
    <col min="9477" max="9477" width="11.5703125" style="403" customWidth="1"/>
    <col min="9478" max="9479" width="11.140625" style="403" customWidth="1"/>
    <col min="9480" max="9480" width="12.42578125" style="403" customWidth="1"/>
    <col min="9481" max="9481" width="16.42578125" style="403" customWidth="1"/>
    <col min="9482" max="9483" width="10" style="403" bestFit="1" customWidth="1"/>
    <col min="9484" max="9728" width="9.140625" style="403"/>
    <col min="9729" max="9729" width="4.85546875" style="403" customWidth="1"/>
    <col min="9730" max="9730" width="41.85546875" style="403" customWidth="1"/>
    <col min="9731" max="9731" width="12.5703125" style="403" customWidth="1"/>
    <col min="9732" max="9732" width="11.42578125" style="403" customWidth="1"/>
    <col min="9733" max="9733" width="11.5703125" style="403" customWidth="1"/>
    <col min="9734" max="9735" width="11.140625" style="403" customWidth="1"/>
    <col min="9736" max="9736" width="12.42578125" style="403" customWidth="1"/>
    <col min="9737" max="9737" width="16.42578125" style="403" customWidth="1"/>
    <col min="9738" max="9739" width="10" style="403" bestFit="1" customWidth="1"/>
    <col min="9740" max="9984" width="9.140625" style="403"/>
    <col min="9985" max="9985" width="4.85546875" style="403" customWidth="1"/>
    <col min="9986" max="9986" width="41.85546875" style="403" customWidth="1"/>
    <col min="9987" max="9987" width="12.5703125" style="403" customWidth="1"/>
    <col min="9988" max="9988" width="11.42578125" style="403" customWidth="1"/>
    <col min="9989" max="9989" width="11.5703125" style="403" customWidth="1"/>
    <col min="9990" max="9991" width="11.140625" style="403" customWidth="1"/>
    <col min="9992" max="9992" width="12.42578125" style="403" customWidth="1"/>
    <col min="9993" max="9993" width="16.42578125" style="403" customWidth="1"/>
    <col min="9994" max="9995" width="10" style="403" bestFit="1" customWidth="1"/>
    <col min="9996" max="10240" width="9.140625" style="403"/>
    <col min="10241" max="10241" width="4.85546875" style="403" customWidth="1"/>
    <col min="10242" max="10242" width="41.85546875" style="403" customWidth="1"/>
    <col min="10243" max="10243" width="12.5703125" style="403" customWidth="1"/>
    <col min="10244" max="10244" width="11.42578125" style="403" customWidth="1"/>
    <col min="10245" max="10245" width="11.5703125" style="403" customWidth="1"/>
    <col min="10246" max="10247" width="11.140625" style="403" customWidth="1"/>
    <col min="10248" max="10248" width="12.42578125" style="403" customWidth="1"/>
    <col min="10249" max="10249" width="16.42578125" style="403" customWidth="1"/>
    <col min="10250" max="10251" width="10" style="403" bestFit="1" customWidth="1"/>
    <col min="10252" max="10496" width="9.140625" style="403"/>
    <col min="10497" max="10497" width="4.85546875" style="403" customWidth="1"/>
    <col min="10498" max="10498" width="41.85546875" style="403" customWidth="1"/>
    <col min="10499" max="10499" width="12.5703125" style="403" customWidth="1"/>
    <col min="10500" max="10500" width="11.42578125" style="403" customWidth="1"/>
    <col min="10501" max="10501" width="11.5703125" style="403" customWidth="1"/>
    <col min="10502" max="10503" width="11.140625" style="403" customWidth="1"/>
    <col min="10504" max="10504" width="12.42578125" style="403" customWidth="1"/>
    <col min="10505" max="10505" width="16.42578125" style="403" customWidth="1"/>
    <col min="10506" max="10507" width="10" style="403" bestFit="1" customWidth="1"/>
    <col min="10508" max="10752" width="9.140625" style="403"/>
    <col min="10753" max="10753" width="4.85546875" style="403" customWidth="1"/>
    <col min="10754" max="10754" width="41.85546875" style="403" customWidth="1"/>
    <col min="10755" max="10755" width="12.5703125" style="403" customWidth="1"/>
    <col min="10756" max="10756" width="11.42578125" style="403" customWidth="1"/>
    <col min="10757" max="10757" width="11.5703125" style="403" customWidth="1"/>
    <col min="10758" max="10759" width="11.140625" style="403" customWidth="1"/>
    <col min="10760" max="10760" width="12.42578125" style="403" customWidth="1"/>
    <col min="10761" max="10761" width="16.42578125" style="403" customWidth="1"/>
    <col min="10762" max="10763" width="10" style="403" bestFit="1" customWidth="1"/>
    <col min="10764" max="11008" width="9.140625" style="403"/>
    <col min="11009" max="11009" width="4.85546875" style="403" customWidth="1"/>
    <col min="11010" max="11010" width="41.85546875" style="403" customWidth="1"/>
    <col min="11011" max="11011" width="12.5703125" style="403" customWidth="1"/>
    <col min="11012" max="11012" width="11.42578125" style="403" customWidth="1"/>
    <col min="11013" max="11013" width="11.5703125" style="403" customWidth="1"/>
    <col min="11014" max="11015" width="11.140625" style="403" customWidth="1"/>
    <col min="11016" max="11016" width="12.42578125" style="403" customWidth="1"/>
    <col min="11017" max="11017" width="16.42578125" style="403" customWidth="1"/>
    <col min="11018" max="11019" width="10" style="403" bestFit="1" customWidth="1"/>
    <col min="11020" max="11264" width="9.140625" style="403"/>
    <col min="11265" max="11265" width="4.85546875" style="403" customWidth="1"/>
    <col min="11266" max="11266" width="41.85546875" style="403" customWidth="1"/>
    <col min="11267" max="11267" width="12.5703125" style="403" customWidth="1"/>
    <col min="11268" max="11268" width="11.42578125" style="403" customWidth="1"/>
    <col min="11269" max="11269" width="11.5703125" style="403" customWidth="1"/>
    <col min="11270" max="11271" width="11.140625" style="403" customWidth="1"/>
    <col min="11272" max="11272" width="12.42578125" style="403" customWidth="1"/>
    <col min="11273" max="11273" width="16.42578125" style="403" customWidth="1"/>
    <col min="11274" max="11275" width="10" style="403" bestFit="1" customWidth="1"/>
    <col min="11276" max="11520" width="9.140625" style="403"/>
    <col min="11521" max="11521" width="4.85546875" style="403" customWidth="1"/>
    <col min="11522" max="11522" width="41.85546875" style="403" customWidth="1"/>
    <col min="11523" max="11523" width="12.5703125" style="403" customWidth="1"/>
    <col min="11524" max="11524" width="11.42578125" style="403" customWidth="1"/>
    <col min="11525" max="11525" width="11.5703125" style="403" customWidth="1"/>
    <col min="11526" max="11527" width="11.140625" style="403" customWidth="1"/>
    <col min="11528" max="11528" width="12.42578125" style="403" customWidth="1"/>
    <col min="11529" max="11529" width="16.42578125" style="403" customWidth="1"/>
    <col min="11530" max="11531" width="10" style="403" bestFit="1" customWidth="1"/>
    <col min="11532" max="11776" width="9.140625" style="403"/>
    <col min="11777" max="11777" width="4.85546875" style="403" customWidth="1"/>
    <col min="11778" max="11778" width="41.85546875" style="403" customWidth="1"/>
    <col min="11779" max="11779" width="12.5703125" style="403" customWidth="1"/>
    <col min="11780" max="11780" width="11.42578125" style="403" customWidth="1"/>
    <col min="11781" max="11781" width="11.5703125" style="403" customWidth="1"/>
    <col min="11782" max="11783" width="11.140625" style="403" customWidth="1"/>
    <col min="11784" max="11784" width="12.42578125" style="403" customWidth="1"/>
    <col min="11785" max="11785" width="16.42578125" style="403" customWidth="1"/>
    <col min="11786" max="11787" width="10" style="403" bestFit="1" customWidth="1"/>
    <col min="11788" max="12032" width="9.140625" style="403"/>
    <col min="12033" max="12033" width="4.85546875" style="403" customWidth="1"/>
    <col min="12034" max="12034" width="41.85546875" style="403" customWidth="1"/>
    <col min="12035" max="12035" width="12.5703125" style="403" customWidth="1"/>
    <col min="12036" max="12036" width="11.42578125" style="403" customWidth="1"/>
    <col min="12037" max="12037" width="11.5703125" style="403" customWidth="1"/>
    <col min="12038" max="12039" width="11.140625" style="403" customWidth="1"/>
    <col min="12040" max="12040" width="12.42578125" style="403" customWidth="1"/>
    <col min="12041" max="12041" width="16.42578125" style="403" customWidth="1"/>
    <col min="12042" max="12043" width="10" style="403" bestFit="1" customWidth="1"/>
    <col min="12044" max="12288" width="9.140625" style="403"/>
    <col min="12289" max="12289" width="4.85546875" style="403" customWidth="1"/>
    <col min="12290" max="12290" width="41.85546875" style="403" customWidth="1"/>
    <col min="12291" max="12291" width="12.5703125" style="403" customWidth="1"/>
    <col min="12292" max="12292" width="11.42578125" style="403" customWidth="1"/>
    <col min="12293" max="12293" width="11.5703125" style="403" customWidth="1"/>
    <col min="12294" max="12295" width="11.140625" style="403" customWidth="1"/>
    <col min="12296" max="12296" width="12.42578125" style="403" customWidth="1"/>
    <col min="12297" max="12297" width="16.42578125" style="403" customWidth="1"/>
    <col min="12298" max="12299" width="10" style="403" bestFit="1" customWidth="1"/>
    <col min="12300" max="12544" width="9.140625" style="403"/>
    <col min="12545" max="12545" width="4.85546875" style="403" customWidth="1"/>
    <col min="12546" max="12546" width="41.85546875" style="403" customWidth="1"/>
    <col min="12547" max="12547" width="12.5703125" style="403" customWidth="1"/>
    <col min="12548" max="12548" width="11.42578125" style="403" customWidth="1"/>
    <col min="12549" max="12549" width="11.5703125" style="403" customWidth="1"/>
    <col min="12550" max="12551" width="11.140625" style="403" customWidth="1"/>
    <col min="12552" max="12552" width="12.42578125" style="403" customWidth="1"/>
    <col min="12553" max="12553" width="16.42578125" style="403" customWidth="1"/>
    <col min="12554" max="12555" width="10" style="403" bestFit="1" customWidth="1"/>
    <col min="12556" max="12800" width="9.140625" style="403"/>
    <col min="12801" max="12801" width="4.85546875" style="403" customWidth="1"/>
    <col min="12802" max="12802" width="41.85546875" style="403" customWidth="1"/>
    <col min="12803" max="12803" width="12.5703125" style="403" customWidth="1"/>
    <col min="12804" max="12804" width="11.42578125" style="403" customWidth="1"/>
    <col min="12805" max="12805" width="11.5703125" style="403" customWidth="1"/>
    <col min="12806" max="12807" width="11.140625" style="403" customWidth="1"/>
    <col min="12808" max="12808" width="12.42578125" style="403" customWidth="1"/>
    <col min="12809" max="12809" width="16.42578125" style="403" customWidth="1"/>
    <col min="12810" max="12811" width="10" style="403" bestFit="1" customWidth="1"/>
    <col min="12812" max="13056" width="9.140625" style="403"/>
    <col min="13057" max="13057" width="4.85546875" style="403" customWidth="1"/>
    <col min="13058" max="13058" width="41.85546875" style="403" customWidth="1"/>
    <col min="13059" max="13059" width="12.5703125" style="403" customWidth="1"/>
    <col min="13060" max="13060" width="11.42578125" style="403" customWidth="1"/>
    <col min="13061" max="13061" width="11.5703125" style="403" customWidth="1"/>
    <col min="13062" max="13063" width="11.140625" style="403" customWidth="1"/>
    <col min="13064" max="13064" width="12.42578125" style="403" customWidth="1"/>
    <col min="13065" max="13065" width="16.42578125" style="403" customWidth="1"/>
    <col min="13066" max="13067" width="10" style="403" bestFit="1" customWidth="1"/>
    <col min="13068" max="13312" width="9.140625" style="403"/>
    <col min="13313" max="13313" width="4.85546875" style="403" customWidth="1"/>
    <col min="13314" max="13314" width="41.85546875" style="403" customWidth="1"/>
    <col min="13315" max="13315" width="12.5703125" style="403" customWidth="1"/>
    <col min="13316" max="13316" width="11.42578125" style="403" customWidth="1"/>
    <col min="13317" max="13317" width="11.5703125" style="403" customWidth="1"/>
    <col min="13318" max="13319" width="11.140625" style="403" customWidth="1"/>
    <col min="13320" max="13320" width="12.42578125" style="403" customWidth="1"/>
    <col min="13321" max="13321" width="16.42578125" style="403" customWidth="1"/>
    <col min="13322" max="13323" width="10" style="403" bestFit="1" customWidth="1"/>
    <col min="13324" max="13568" width="9.140625" style="403"/>
    <col min="13569" max="13569" width="4.85546875" style="403" customWidth="1"/>
    <col min="13570" max="13570" width="41.85546875" style="403" customWidth="1"/>
    <col min="13571" max="13571" width="12.5703125" style="403" customWidth="1"/>
    <col min="13572" max="13572" width="11.42578125" style="403" customWidth="1"/>
    <col min="13573" max="13573" width="11.5703125" style="403" customWidth="1"/>
    <col min="13574" max="13575" width="11.140625" style="403" customWidth="1"/>
    <col min="13576" max="13576" width="12.42578125" style="403" customWidth="1"/>
    <col min="13577" max="13577" width="16.42578125" style="403" customWidth="1"/>
    <col min="13578" max="13579" width="10" style="403" bestFit="1" customWidth="1"/>
    <col min="13580" max="13824" width="9.140625" style="403"/>
    <col min="13825" max="13825" width="4.85546875" style="403" customWidth="1"/>
    <col min="13826" max="13826" width="41.85546875" style="403" customWidth="1"/>
    <col min="13827" max="13827" width="12.5703125" style="403" customWidth="1"/>
    <col min="13828" max="13828" width="11.42578125" style="403" customWidth="1"/>
    <col min="13829" max="13829" width="11.5703125" style="403" customWidth="1"/>
    <col min="13830" max="13831" width="11.140625" style="403" customWidth="1"/>
    <col min="13832" max="13832" width="12.42578125" style="403" customWidth="1"/>
    <col min="13833" max="13833" width="16.42578125" style="403" customWidth="1"/>
    <col min="13834" max="13835" width="10" style="403" bestFit="1" customWidth="1"/>
    <col min="13836" max="14080" width="9.140625" style="403"/>
    <col min="14081" max="14081" width="4.85546875" style="403" customWidth="1"/>
    <col min="14082" max="14082" width="41.85546875" style="403" customWidth="1"/>
    <col min="14083" max="14083" width="12.5703125" style="403" customWidth="1"/>
    <col min="14084" max="14084" width="11.42578125" style="403" customWidth="1"/>
    <col min="14085" max="14085" width="11.5703125" style="403" customWidth="1"/>
    <col min="14086" max="14087" width="11.140625" style="403" customWidth="1"/>
    <col min="14088" max="14088" width="12.42578125" style="403" customWidth="1"/>
    <col min="14089" max="14089" width="16.42578125" style="403" customWidth="1"/>
    <col min="14090" max="14091" width="10" style="403" bestFit="1" customWidth="1"/>
    <col min="14092" max="14336" width="9.140625" style="403"/>
    <col min="14337" max="14337" width="4.85546875" style="403" customWidth="1"/>
    <col min="14338" max="14338" width="41.85546875" style="403" customWidth="1"/>
    <col min="14339" max="14339" width="12.5703125" style="403" customWidth="1"/>
    <col min="14340" max="14340" width="11.42578125" style="403" customWidth="1"/>
    <col min="14341" max="14341" width="11.5703125" style="403" customWidth="1"/>
    <col min="14342" max="14343" width="11.140625" style="403" customWidth="1"/>
    <col min="14344" max="14344" width="12.42578125" style="403" customWidth="1"/>
    <col min="14345" max="14345" width="16.42578125" style="403" customWidth="1"/>
    <col min="14346" max="14347" width="10" style="403" bestFit="1" customWidth="1"/>
    <col min="14348" max="14592" width="9.140625" style="403"/>
    <col min="14593" max="14593" width="4.85546875" style="403" customWidth="1"/>
    <col min="14594" max="14594" width="41.85546875" style="403" customWidth="1"/>
    <col min="14595" max="14595" width="12.5703125" style="403" customWidth="1"/>
    <col min="14596" max="14596" width="11.42578125" style="403" customWidth="1"/>
    <col min="14597" max="14597" width="11.5703125" style="403" customWidth="1"/>
    <col min="14598" max="14599" width="11.140625" style="403" customWidth="1"/>
    <col min="14600" max="14600" width="12.42578125" style="403" customWidth="1"/>
    <col min="14601" max="14601" width="16.42578125" style="403" customWidth="1"/>
    <col min="14602" max="14603" width="10" style="403" bestFit="1" customWidth="1"/>
    <col min="14604" max="14848" width="9.140625" style="403"/>
    <col min="14849" max="14849" width="4.85546875" style="403" customWidth="1"/>
    <col min="14850" max="14850" width="41.85546875" style="403" customWidth="1"/>
    <col min="14851" max="14851" width="12.5703125" style="403" customWidth="1"/>
    <col min="14852" max="14852" width="11.42578125" style="403" customWidth="1"/>
    <col min="14853" max="14853" width="11.5703125" style="403" customWidth="1"/>
    <col min="14854" max="14855" width="11.140625" style="403" customWidth="1"/>
    <col min="14856" max="14856" width="12.42578125" style="403" customWidth="1"/>
    <col min="14857" max="14857" width="16.42578125" style="403" customWidth="1"/>
    <col min="14858" max="14859" width="10" style="403" bestFit="1" customWidth="1"/>
    <col min="14860" max="15104" width="9.140625" style="403"/>
    <col min="15105" max="15105" width="4.85546875" style="403" customWidth="1"/>
    <col min="15106" max="15106" width="41.85546875" style="403" customWidth="1"/>
    <col min="15107" max="15107" width="12.5703125" style="403" customWidth="1"/>
    <col min="15108" max="15108" width="11.42578125" style="403" customWidth="1"/>
    <col min="15109" max="15109" width="11.5703125" style="403" customWidth="1"/>
    <col min="15110" max="15111" width="11.140625" style="403" customWidth="1"/>
    <col min="15112" max="15112" width="12.42578125" style="403" customWidth="1"/>
    <col min="15113" max="15113" width="16.42578125" style="403" customWidth="1"/>
    <col min="15114" max="15115" width="10" style="403" bestFit="1" customWidth="1"/>
    <col min="15116" max="15360" width="9.140625" style="403"/>
    <col min="15361" max="15361" width="4.85546875" style="403" customWidth="1"/>
    <col min="15362" max="15362" width="41.85546875" style="403" customWidth="1"/>
    <col min="15363" max="15363" width="12.5703125" style="403" customWidth="1"/>
    <col min="15364" max="15364" width="11.42578125" style="403" customWidth="1"/>
    <col min="15365" max="15365" width="11.5703125" style="403" customWidth="1"/>
    <col min="15366" max="15367" width="11.140625" style="403" customWidth="1"/>
    <col min="15368" max="15368" width="12.42578125" style="403" customWidth="1"/>
    <col min="15369" max="15369" width="16.42578125" style="403" customWidth="1"/>
    <col min="15370" max="15371" width="10" style="403" bestFit="1" customWidth="1"/>
    <col min="15372" max="15616" width="9.140625" style="403"/>
    <col min="15617" max="15617" width="4.85546875" style="403" customWidth="1"/>
    <col min="15618" max="15618" width="41.85546875" style="403" customWidth="1"/>
    <col min="15619" max="15619" width="12.5703125" style="403" customWidth="1"/>
    <col min="15620" max="15620" width="11.42578125" style="403" customWidth="1"/>
    <col min="15621" max="15621" width="11.5703125" style="403" customWidth="1"/>
    <col min="15622" max="15623" width="11.140625" style="403" customWidth="1"/>
    <col min="15624" max="15624" width="12.42578125" style="403" customWidth="1"/>
    <col min="15625" max="15625" width="16.42578125" style="403" customWidth="1"/>
    <col min="15626" max="15627" width="10" style="403" bestFit="1" customWidth="1"/>
    <col min="15628" max="15872" width="9.140625" style="403"/>
    <col min="15873" max="15873" width="4.85546875" style="403" customWidth="1"/>
    <col min="15874" max="15874" width="41.85546875" style="403" customWidth="1"/>
    <col min="15875" max="15875" width="12.5703125" style="403" customWidth="1"/>
    <col min="15876" max="15876" width="11.42578125" style="403" customWidth="1"/>
    <col min="15877" max="15877" width="11.5703125" style="403" customWidth="1"/>
    <col min="15878" max="15879" width="11.140625" style="403" customWidth="1"/>
    <col min="15880" max="15880" width="12.42578125" style="403" customWidth="1"/>
    <col min="15881" max="15881" width="16.42578125" style="403" customWidth="1"/>
    <col min="15882" max="15883" width="10" style="403" bestFit="1" customWidth="1"/>
    <col min="15884" max="16128" width="9.140625" style="403"/>
    <col min="16129" max="16129" width="4.85546875" style="403" customWidth="1"/>
    <col min="16130" max="16130" width="41.85546875" style="403" customWidth="1"/>
    <col min="16131" max="16131" width="12.5703125" style="403" customWidth="1"/>
    <col min="16132" max="16132" width="11.42578125" style="403" customWidth="1"/>
    <col min="16133" max="16133" width="11.5703125" style="403" customWidth="1"/>
    <col min="16134" max="16135" width="11.140625" style="403" customWidth="1"/>
    <col min="16136" max="16136" width="12.42578125" style="403" customWidth="1"/>
    <col min="16137" max="16137" width="16.42578125" style="403" customWidth="1"/>
    <col min="16138" max="16139" width="10" style="403" bestFit="1" customWidth="1"/>
    <col min="16140" max="16384" width="9.140625" style="403"/>
  </cols>
  <sheetData>
    <row r="1" spans="1:9" x14ac:dyDescent="0.25">
      <c r="A1" s="401"/>
      <c r="B1" s="573" t="s">
        <v>381</v>
      </c>
      <c r="C1" s="573"/>
      <c r="D1" s="573"/>
      <c r="E1" s="573"/>
      <c r="F1" s="573"/>
      <c r="G1" s="573"/>
      <c r="H1" s="573"/>
    </row>
    <row r="2" spans="1:9" s="404" customFormat="1" ht="22.5" customHeight="1" x14ac:dyDescent="0.25">
      <c r="A2" s="574" t="str">
        <f>+'Tổng hợp KHV 2024'!A3:W3</f>
        <v>(Kèm theo Kế hoạch số ……./KH-UBND ngày ……./……/2023 của UBND huyện Tân Yên)</v>
      </c>
      <c r="B2" s="574"/>
      <c r="C2" s="574"/>
      <c r="D2" s="574"/>
      <c r="E2" s="574"/>
      <c r="F2" s="574"/>
      <c r="G2" s="574"/>
      <c r="H2" s="574"/>
      <c r="I2" s="574"/>
    </row>
    <row r="3" spans="1:9" ht="15" customHeight="1" x14ac:dyDescent="0.25">
      <c r="A3" s="401"/>
      <c r="B3" s="405"/>
      <c r="C3" s="405"/>
      <c r="D3" s="406"/>
      <c r="E3" s="405"/>
      <c r="F3" s="405"/>
      <c r="G3" s="405"/>
      <c r="H3" s="575" t="s">
        <v>373</v>
      </c>
      <c r="I3" s="575"/>
    </row>
    <row r="4" spans="1:9" ht="27" customHeight="1" x14ac:dyDescent="0.25">
      <c r="A4" s="576" t="s">
        <v>35</v>
      </c>
      <c r="B4" s="576" t="s">
        <v>374</v>
      </c>
      <c r="C4" s="576" t="s">
        <v>375</v>
      </c>
      <c r="D4" s="576" t="s">
        <v>382</v>
      </c>
      <c r="E4" s="576"/>
      <c r="F4" s="576"/>
      <c r="G4" s="576"/>
      <c r="H4" s="576"/>
      <c r="I4" s="576" t="s">
        <v>30</v>
      </c>
    </row>
    <row r="5" spans="1:9" ht="80.25" customHeight="1" x14ac:dyDescent="0.25">
      <c r="A5" s="576"/>
      <c r="B5" s="576"/>
      <c r="C5" s="576"/>
      <c r="D5" s="451" t="s">
        <v>376</v>
      </c>
      <c r="E5" s="451" t="s">
        <v>377</v>
      </c>
      <c r="F5" s="451" t="s">
        <v>402</v>
      </c>
      <c r="G5" s="444" t="s">
        <v>407</v>
      </c>
      <c r="H5" s="451" t="s">
        <v>403</v>
      </c>
      <c r="I5" s="576"/>
    </row>
    <row r="6" spans="1:9" s="407" customFormat="1" ht="27" customHeight="1" x14ac:dyDescent="0.25">
      <c r="A6" s="445" t="s">
        <v>76</v>
      </c>
      <c r="B6" s="445" t="s">
        <v>378</v>
      </c>
      <c r="C6" s="446">
        <f t="shared" ref="C6:I6" si="0">SUM(C7:C14)</f>
        <v>873092</v>
      </c>
      <c r="D6" s="446">
        <f t="shared" si="0"/>
        <v>489999.821</v>
      </c>
      <c r="E6" s="446">
        <f t="shared" si="0"/>
        <v>96048</v>
      </c>
      <c r="F6" s="446">
        <f t="shared" si="0"/>
        <v>35300</v>
      </c>
      <c r="G6" s="446">
        <f t="shared" si="0"/>
        <v>251744.179</v>
      </c>
      <c r="H6" s="446">
        <f t="shared" si="0"/>
        <v>0</v>
      </c>
      <c r="I6" s="446">
        <f t="shared" si="0"/>
        <v>0</v>
      </c>
    </row>
    <row r="7" spans="1:9" ht="30.75" customHeight="1" x14ac:dyDescent="0.3">
      <c r="A7" s="451">
        <v>1</v>
      </c>
      <c r="B7" s="447" t="s">
        <v>393</v>
      </c>
      <c r="C7" s="446">
        <f>+D7+E7+F7+G7+H7</f>
        <v>307390</v>
      </c>
      <c r="D7" s="448">
        <f>+'CT huyện -2024'!O11</f>
        <v>223240</v>
      </c>
      <c r="E7" s="448">
        <f>+'CT huyện -2024'!M11</f>
        <v>70750</v>
      </c>
      <c r="F7" s="448">
        <f>+'CT huyện -2024'!N11</f>
        <v>13400</v>
      </c>
      <c r="G7" s="448"/>
      <c r="H7" s="448"/>
      <c r="I7" s="449" t="s">
        <v>398</v>
      </c>
    </row>
    <row r="8" spans="1:9" ht="30.75" customHeight="1" x14ac:dyDescent="0.3">
      <c r="A8" s="451">
        <v>2</v>
      </c>
      <c r="B8" s="447" t="s">
        <v>394</v>
      </c>
      <c r="C8" s="446">
        <f>+D8+E8+F8+G8+H8</f>
        <v>167776</v>
      </c>
      <c r="D8" s="448">
        <f>+'KHV hạ tầng dân cư xây mới'!O11</f>
        <v>51106</v>
      </c>
      <c r="E8" s="448"/>
      <c r="F8" s="448"/>
      <c r="G8" s="448">
        <f>'KHV hạ tầng dân cư xây mới'!P11</f>
        <v>116670</v>
      </c>
      <c r="H8" s="448"/>
      <c r="I8" s="449" t="s">
        <v>399</v>
      </c>
    </row>
    <row r="9" spans="1:9" ht="30.75" customHeight="1" x14ac:dyDescent="0.3">
      <c r="A9" s="456">
        <v>3</v>
      </c>
      <c r="B9" s="447" t="s">
        <v>397</v>
      </c>
      <c r="C9" s="446">
        <f>+D9+E9+F9+G9+H9</f>
        <v>5400</v>
      </c>
      <c r="D9" s="448">
        <f>+'KHV hạ tầng dân cư CBĐT'!O11</f>
        <v>5400</v>
      </c>
      <c r="E9" s="448"/>
      <c r="F9" s="448"/>
      <c r="G9" s="448"/>
      <c r="H9" s="448"/>
      <c r="I9" s="449" t="s">
        <v>400</v>
      </c>
    </row>
    <row r="10" spans="1:9" ht="30.75" customHeight="1" x14ac:dyDescent="0.3">
      <c r="A10" s="456">
        <v>4</v>
      </c>
      <c r="B10" s="447" t="s">
        <v>406</v>
      </c>
      <c r="C10" s="446">
        <f>+D10+E10+F10+G10+H10</f>
        <v>214600</v>
      </c>
      <c r="D10" s="448">
        <f>+'Hạ tầng dân cư - vốn vay'!S11</f>
        <v>79525.820999999996</v>
      </c>
      <c r="E10" s="448"/>
      <c r="F10" s="448"/>
      <c r="G10" s="448">
        <f>+'Hạ tầng dân cư - vốn vay'!R11</f>
        <v>135074.179</v>
      </c>
      <c r="H10" s="448"/>
      <c r="I10" s="449" t="s">
        <v>401</v>
      </c>
    </row>
    <row r="11" spans="1:9" ht="30.75" customHeight="1" x14ac:dyDescent="0.3">
      <c r="A11" s="456">
        <v>5</v>
      </c>
      <c r="B11" s="447" t="s">
        <v>395</v>
      </c>
      <c r="C11" s="446">
        <f t="shared" ref="C11:C14" si="1">+D11+E11+F11+G11+H11</f>
        <v>51368</v>
      </c>
      <c r="D11" s="448">
        <f>+'CT xa-TT-2024'!R11</f>
        <v>42168</v>
      </c>
      <c r="E11" s="448"/>
      <c r="F11" s="448">
        <f>+'CT xa-TT-2024'!Q11</f>
        <v>9200</v>
      </c>
      <c r="G11" s="448"/>
      <c r="H11" s="448"/>
      <c r="I11" s="449" t="s">
        <v>379</v>
      </c>
    </row>
    <row r="12" spans="1:9" ht="30.75" customHeight="1" x14ac:dyDescent="0.3">
      <c r="A12" s="456">
        <v>6</v>
      </c>
      <c r="B12" s="447" t="s">
        <v>405</v>
      </c>
      <c r="C12" s="446">
        <f t="shared" si="1"/>
        <v>36898</v>
      </c>
      <c r="D12" s="448">
        <f>'Tổng hợp KHV 2024'!R45</f>
        <v>4000</v>
      </c>
      <c r="E12" s="448">
        <f>'Tổng hợp KHV 2024'!P45</f>
        <v>25298</v>
      </c>
      <c r="F12" s="448">
        <f>'Tổng hợp KHV 2024'!Q45</f>
        <v>7600</v>
      </c>
      <c r="G12" s="448"/>
      <c r="H12" s="448"/>
      <c r="I12" s="449" t="s">
        <v>404</v>
      </c>
    </row>
    <row r="13" spans="1:9" ht="30.75" customHeight="1" x14ac:dyDescent="0.3">
      <c r="A13" s="456">
        <v>7</v>
      </c>
      <c r="B13" s="450" t="s">
        <v>396</v>
      </c>
      <c r="C13" s="446">
        <f t="shared" si="1"/>
        <v>19660</v>
      </c>
      <c r="D13" s="448">
        <f>'Tổng hợp KHV 2024'!R61</f>
        <v>14560</v>
      </c>
      <c r="E13" s="448"/>
      <c r="F13" s="448">
        <v>5100</v>
      </c>
      <c r="G13" s="448"/>
      <c r="H13" s="448"/>
      <c r="I13" s="449" t="s">
        <v>380</v>
      </c>
    </row>
    <row r="14" spans="1:9" ht="37.5" x14ac:dyDescent="0.3">
      <c r="A14" s="456">
        <v>8</v>
      </c>
      <c r="B14" s="450" t="s">
        <v>629</v>
      </c>
      <c r="C14" s="446">
        <f t="shared" si="1"/>
        <v>70000</v>
      </c>
      <c r="D14" s="448">
        <f>'Tổng hợp KHV 2024'!R69</f>
        <v>70000</v>
      </c>
      <c r="E14" s="448"/>
      <c r="F14" s="448"/>
      <c r="G14" s="448"/>
      <c r="H14" s="448"/>
      <c r="I14" s="449" t="s">
        <v>390</v>
      </c>
    </row>
    <row r="15" spans="1:9" x14ac:dyDescent="0.25">
      <c r="E15" s="408"/>
    </row>
    <row r="16" spans="1:9" x14ac:dyDescent="0.25">
      <c r="C16" s="571"/>
      <c r="D16" s="572"/>
      <c r="E16" s="408"/>
    </row>
    <row r="17" spans="3:7" x14ac:dyDescent="0.25">
      <c r="C17" s="408"/>
      <c r="D17" s="408"/>
      <c r="E17" s="408"/>
      <c r="F17" s="408"/>
      <c r="G17" s="408"/>
    </row>
    <row r="18" spans="3:7" x14ac:dyDescent="0.25">
      <c r="E18" s="408"/>
    </row>
    <row r="19" spans="3:7" x14ac:dyDescent="0.25">
      <c r="E19" s="408"/>
    </row>
  </sheetData>
  <mergeCells count="9">
    <mergeCell ref="C16:D16"/>
    <mergeCell ref="B1:H1"/>
    <mergeCell ref="A2:I2"/>
    <mergeCell ref="H3:I3"/>
    <mergeCell ref="A4:A5"/>
    <mergeCell ref="B4:B5"/>
    <mergeCell ref="C4:C5"/>
    <mergeCell ref="D4:H4"/>
    <mergeCell ref="I4:I5"/>
  </mergeCells>
  <pageMargins left="0.68" right="0.31496062992125984" top="0.65" bottom="0.67" header="0.31496062992125984" footer="0.31496062992125984"/>
  <pageSetup paperSize="9" scale="85" fitToHeight="0" orientation="landscape" r:id="rId1"/>
  <headerFooter>
    <oddFooter>&amp;A&amp;RPage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workbookViewId="0">
      <selection activeCell="I7" sqref="I7"/>
    </sheetView>
  </sheetViews>
  <sheetFormatPr defaultRowHeight="12.75" x14ac:dyDescent="0.2"/>
  <cols>
    <col min="1" max="1" width="5.140625" bestFit="1" customWidth="1"/>
    <col min="2" max="2" width="37.5703125" style="321" customWidth="1"/>
    <col min="3" max="3" width="17.42578125" style="322" customWidth="1"/>
    <col min="4" max="4" width="15.28515625" style="323" customWidth="1"/>
    <col min="5" max="5" width="15.7109375" style="315" customWidth="1"/>
    <col min="6" max="6" width="17.85546875" style="315" customWidth="1"/>
    <col min="7" max="7" width="29.7109375" customWidth="1"/>
  </cols>
  <sheetData>
    <row r="1" spans="1:9" ht="20.25" customHeight="1" x14ac:dyDescent="0.25">
      <c r="F1" s="691" t="s">
        <v>391</v>
      </c>
      <c r="G1" s="691"/>
    </row>
    <row r="2" spans="1:9" ht="15.75" x14ac:dyDescent="0.2">
      <c r="A2" s="692" t="s">
        <v>329</v>
      </c>
      <c r="B2" s="692"/>
      <c r="C2" s="692"/>
      <c r="D2" s="692"/>
      <c r="E2" s="692"/>
      <c r="F2" s="692"/>
      <c r="G2" s="692"/>
    </row>
    <row r="3" spans="1:9" ht="15.75" x14ac:dyDescent="0.2">
      <c r="A3" s="690" t="str">
        <f>'CT-NTM 2024'!A3:U3</f>
        <v>(Kèm theo Kế hoạch số ……./KH-UBND ngày ……./……/2023 của UBND huyện Tân Yên)</v>
      </c>
      <c r="B3" s="690"/>
      <c r="C3" s="690"/>
      <c r="D3" s="690"/>
      <c r="E3" s="690"/>
      <c r="F3" s="690"/>
      <c r="G3" s="690"/>
    </row>
    <row r="4" spans="1:9" ht="15.75" x14ac:dyDescent="0.2">
      <c r="A4" s="281"/>
      <c r="B4" s="282"/>
      <c r="C4" s="283"/>
      <c r="D4" s="284"/>
      <c r="E4" s="693" t="s">
        <v>36</v>
      </c>
      <c r="F4" s="693"/>
      <c r="G4" s="693"/>
    </row>
    <row r="5" spans="1:9" s="288" customFormat="1" ht="47.25" x14ac:dyDescent="0.25">
      <c r="A5" s="285" t="s">
        <v>35</v>
      </c>
      <c r="B5" s="286" t="s">
        <v>330</v>
      </c>
      <c r="C5" s="287" t="s">
        <v>331</v>
      </c>
      <c r="D5" s="286" t="s">
        <v>332</v>
      </c>
      <c r="E5" s="287" t="s">
        <v>145</v>
      </c>
      <c r="F5" s="287" t="s">
        <v>343</v>
      </c>
      <c r="G5" s="286" t="s">
        <v>322</v>
      </c>
    </row>
    <row r="6" spans="1:9" s="288" customFormat="1" ht="15.75" x14ac:dyDescent="0.25">
      <c r="A6" s="285"/>
      <c r="B6" s="286" t="s">
        <v>41</v>
      </c>
      <c r="C6" s="290">
        <f>C7+C15</f>
        <v>7694.4970000000003</v>
      </c>
      <c r="D6" s="290">
        <f t="shared" ref="D6:F6" si="0">D7+D15</f>
        <v>4626</v>
      </c>
      <c r="E6" s="395">
        <f t="shared" si="0"/>
        <v>5570</v>
      </c>
      <c r="F6" s="290">
        <f t="shared" si="0"/>
        <v>8596</v>
      </c>
      <c r="G6" s="286"/>
      <c r="I6" s="540">
        <f>70000-E6</f>
        <v>64430</v>
      </c>
    </row>
    <row r="7" spans="1:9" s="291" customFormat="1" ht="16.5" x14ac:dyDescent="0.25">
      <c r="A7" s="285" t="s">
        <v>76</v>
      </c>
      <c r="B7" s="289" t="s">
        <v>186</v>
      </c>
      <c r="C7" s="290">
        <f>SUM(C8:C14)</f>
        <v>6694.4970000000003</v>
      </c>
      <c r="D7" s="290">
        <f t="shared" ref="D7:F7" si="1">SUM(D8:D14)</f>
        <v>4626</v>
      </c>
      <c r="E7" s="290">
        <f t="shared" si="1"/>
        <v>3470</v>
      </c>
      <c r="F7" s="290">
        <f t="shared" si="1"/>
        <v>6496</v>
      </c>
      <c r="G7" s="285"/>
    </row>
    <row r="8" spans="1:9" s="297" customFormat="1" ht="47.25" x14ac:dyDescent="0.25">
      <c r="A8" s="292">
        <v>1</v>
      </c>
      <c r="B8" s="293" t="s">
        <v>333</v>
      </c>
      <c r="C8" s="294">
        <v>3004.3</v>
      </c>
      <c r="D8" s="295">
        <v>1900</v>
      </c>
      <c r="E8" s="296">
        <v>1100</v>
      </c>
      <c r="F8" s="296">
        <f>D8+E8</f>
        <v>3000</v>
      </c>
      <c r="G8" s="292" t="s">
        <v>334</v>
      </c>
    </row>
    <row r="9" spans="1:9" s="297" customFormat="1" ht="47.25" x14ac:dyDescent="0.25">
      <c r="A9" s="292">
        <v>2</v>
      </c>
      <c r="B9" s="298" t="s">
        <v>335</v>
      </c>
      <c r="C9" s="294">
        <v>336.8</v>
      </c>
      <c r="D9" s="295">
        <v>200</v>
      </c>
      <c r="E9" s="296">
        <v>130</v>
      </c>
      <c r="F9" s="296">
        <f t="shared" ref="F9:F17" si="2">D9+E9</f>
        <v>330</v>
      </c>
      <c r="G9" s="292" t="s">
        <v>334</v>
      </c>
    </row>
    <row r="10" spans="1:9" s="297" customFormat="1" ht="63" x14ac:dyDescent="0.25">
      <c r="A10" s="292">
        <v>3</v>
      </c>
      <c r="B10" s="293" t="s">
        <v>336</v>
      </c>
      <c r="C10" s="299">
        <v>1416.73</v>
      </c>
      <c r="D10" s="295">
        <v>1226</v>
      </c>
      <c r="E10" s="299">
        <v>190</v>
      </c>
      <c r="F10" s="296">
        <f t="shared" si="2"/>
        <v>1416</v>
      </c>
      <c r="G10" s="292" t="s">
        <v>334</v>
      </c>
    </row>
    <row r="11" spans="1:9" s="297" customFormat="1" ht="78.75" x14ac:dyDescent="0.25">
      <c r="A11" s="292">
        <v>4</v>
      </c>
      <c r="B11" s="300" t="s">
        <v>337</v>
      </c>
      <c r="C11" s="301">
        <v>807.29700000000003</v>
      </c>
      <c r="D11" s="302">
        <v>500</v>
      </c>
      <c r="E11" s="303">
        <v>200</v>
      </c>
      <c r="F11" s="296">
        <f t="shared" si="2"/>
        <v>700</v>
      </c>
      <c r="G11" s="292" t="s">
        <v>334</v>
      </c>
    </row>
    <row r="12" spans="1:9" s="297" customFormat="1" ht="78.75" x14ac:dyDescent="0.25">
      <c r="A12" s="292">
        <v>5</v>
      </c>
      <c r="B12" s="300" t="s">
        <v>338</v>
      </c>
      <c r="C12" s="301">
        <v>647.01900000000001</v>
      </c>
      <c r="D12" s="302">
        <v>500</v>
      </c>
      <c r="E12" s="303">
        <v>100</v>
      </c>
      <c r="F12" s="296">
        <f t="shared" si="2"/>
        <v>600</v>
      </c>
      <c r="G12" s="292" t="s">
        <v>334</v>
      </c>
    </row>
    <row r="13" spans="1:9" s="297" customFormat="1" ht="94.5" x14ac:dyDescent="0.25">
      <c r="A13" s="292">
        <v>6</v>
      </c>
      <c r="B13" s="304" t="s">
        <v>339</v>
      </c>
      <c r="C13" s="301">
        <v>482.351</v>
      </c>
      <c r="D13" s="302">
        <v>300</v>
      </c>
      <c r="E13" s="303">
        <v>150</v>
      </c>
      <c r="F13" s="296">
        <f t="shared" ref="F13" si="3">D13+E13</f>
        <v>450</v>
      </c>
      <c r="G13" s="292" t="s">
        <v>334</v>
      </c>
    </row>
    <row r="14" spans="1:9" s="297" customFormat="1" ht="63" x14ac:dyDescent="0.25">
      <c r="A14" s="292">
        <v>7</v>
      </c>
      <c r="B14" s="304" t="s">
        <v>365</v>
      </c>
      <c r="C14" s="301"/>
      <c r="D14" s="302"/>
      <c r="E14" s="303">
        <v>1600</v>
      </c>
      <c r="F14" s="296"/>
      <c r="G14" s="304" t="s">
        <v>366</v>
      </c>
    </row>
    <row r="15" spans="1:9" s="327" customFormat="1" ht="16.5" x14ac:dyDescent="0.25">
      <c r="A15" s="324" t="s">
        <v>74</v>
      </c>
      <c r="B15" s="325" t="s">
        <v>340</v>
      </c>
      <c r="C15" s="326">
        <f>SUM(C16:C18)</f>
        <v>1000</v>
      </c>
      <c r="D15" s="326">
        <f t="shared" ref="D15:F15" si="4">SUM(D16:D18)</f>
        <v>0</v>
      </c>
      <c r="E15" s="326">
        <f t="shared" si="4"/>
        <v>2100</v>
      </c>
      <c r="F15" s="326">
        <f t="shared" si="4"/>
        <v>2100</v>
      </c>
      <c r="G15" s="324"/>
    </row>
    <row r="16" spans="1:9" s="297" customFormat="1" ht="31.5" x14ac:dyDescent="0.25">
      <c r="A16" s="292">
        <v>1</v>
      </c>
      <c r="B16" s="305" t="s">
        <v>341</v>
      </c>
      <c r="C16" s="306">
        <v>500</v>
      </c>
      <c r="D16" s="307">
        <v>0</v>
      </c>
      <c r="E16" s="303">
        <v>300</v>
      </c>
      <c r="F16" s="296">
        <f t="shared" si="2"/>
        <v>300</v>
      </c>
      <c r="G16" s="292" t="s">
        <v>334</v>
      </c>
    </row>
    <row r="17" spans="1:9" s="297" customFormat="1" ht="31.5" x14ac:dyDescent="0.25">
      <c r="A17" s="292">
        <v>2</v>
      </c>
      <c r="B17" s="305" t="s">
        <v>342</v>
      </c>
      <c r="C17" s="306">
        <v>500</v>
      </c>
      <c r="D17" s="307">
        <v>0</v>
      </c>
      <c r="E17" s="303">
        <v>300</v>
      </c>
      <c r="F17" s="296">
        <f t="shared" si="2"/>
        <v>300</v>
      </c>
      <c r="G17" s="292" t="s">
        <v>334</v>
      </c>
      <c r="I17" s="308"/>
    </row>
    <row r="18" spans="1:9" ht="15.75" x14ac:dyDescent="0.2">
      <c r="A18" s="292">
        <v>3</v>
      </c>
      <c r="B18" s="305" t="s">
        <v>608</v>
      </c>
      <c r="C18" s="306"/>
      <c r="D18" s="307">
        <v>0</v>
      </c>
      <c r="E18" s="303">
        <v>1500</v>
      </c>
      <c r="F18" s="296">
        <f t="shared" ref="F18" si="5">D18+E18</f>
        <v>1500</v>
      </c>
      <c r="G18" s="292" t="s">
        <v>334</v>
      </c>
    </row>
    <row r="19" spans="1:9" x14ac:dyDescent="0.2">
      <c r="A19" s="309"/>
      <c r="B19" s="309"/>
      <c r="C19" s="313"/>
      <c r="D19" s="314"/>
    </row>
    <row r="20" spans="1:9" x14ac:dyDescent="0.2">
      <c r="A20" s="309"/>
      <c r="B20" s="309"/>
      <c r="C20" s="313"/>
      <c r="D20" s="314"/>
    </row>
    <row r="21" spans="1:9" x14ac:dyDescent="0.2">
      <c r="A21" s="309"/>
      <c r="B21" s="310"/>
      <c r="C21" s="311"/>
      <c r="D21" s="312"/>
      <c r="E21" s="313"/>
      <c r="F21" s="313"/>
      <c r="G21" s="309"/>
    </row>
    <row r="22" spans="1:9" x14ac:dyDescent="0.2">
      <c r="A22" s="316"/>
      <c r="B22" s="317"/>
      <c r="C22" s="318"/>
      <c r="D22" s="319"/>
      <c r="E22" s="320"/>
      <c r="F22" s="320"/>
      <c r="G22" s="316"/>
    </row>
    <row r="23" spans="1:9" ht="15.75" x14ac:dyDescent="0.25">
      <c r="A23" s="316"/>
      <c r="B23" s="317"/>
      <c r="C23" s="318"/>
      <c r="D23" s="319"/>
      <c r="E23" s="689"/>
      <c r="F23" s="689"/>
      <c r="G23" s="689"/>
    </row>
    <row r="24" spans="1:9" x14ac:dyDescent="0.2">
      <c r="A24" s="316"/>
      <c r="B24" s="317"/>
      <c r="C24" s="318"/>
      <c r="D24" s="319"/>
      <c r="E24" s="320"/>
      <c r="F24" s="320"/>
      <c r="G24" s="316"/>
    </row>
    <row r="25" spans="1:9" x14ac:dyDescent="0.2">
      <c r="A25" s="316"/>
      <c r="B25" s="317"/>
      <c r="C25" s="318"/>
      <c r="D25" s="319"/>
      <c r="E25" s="320"/>
      <c r="F25" s="320"/>
      <c r="G25" s="316"/>
    </row>
    <row r="26" spans="1:9" x14ac:dyDescent="0.2">
      <c r="A26" s="316"/>
      <c r="B26" s="317"/>
      <c r="C26" s="318"/>
      <c r="D26" s="319"/>
      <c r="E26" s="320"/>
      <c r="F26" s="320"/>
      <c r="G26" s="316"/>
    </row>
    <row r="27" spans="1:9" x14ac:dyDescent="0.2">
      <c r="A27" s="316"/>
      <c r="B27" s="317"/>
      <c r="C27" s="318"/>
      <c r="D27" s="319"/>
      <c r="E27" s="320"/>
      <c r="F27" s="320"/>
      <c r="G27" s="316"/>
    </row>
    <row r="28" spans="1:9" x14ac:dyDescent="0.2">
      <c r="A28" s="316"/>
      <c r="B28" s="317"/>
      <c r="C28" s="318"/>
      <c r="D28" s="319"/>
      <c r="E28" s="320"/>
      <c r="F28" s="320"/>
      <c r="G28" s="316"/>
    </row>
  </sheetData>
  <mergeCells count="5">
    <mergeCell ref="E23:G23"/>
    <mergeCell ref="A3:G3"/>
    <mergeCell ref="F1:G1"/>
    <mergeCell ref="A2:G2"/>
    <mergeCell ref="E4:G4"/>
  </mergeCells>
  <pageMargins left="0.70866141732283472" right="0.2" top="0.74803149606299213" bottom="0.17" header="0.31496062992125984" footer="0.27"/>
  <pageSetup paperSize="9" orientation="landscape" r:id="rId1"/>
  <headerFooter>
    <oddFooter>&amp;A&amp;RPage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topLeftCell="A13" workbookViewId="0">
      <selection activeCell="B8" sqref="B8"/>
    </sheetView>
  </sheetViews>
  <sheetFormatPr defaultColWidth="9.5703125" defaultRowHeight="12.75" x14ac:dyDescent="0.2"/>
  <cols>
    <col min="1" max="1" width="7" style="278" customWidth="1"/>
    <col min="2" max="2" width="75" style="278" customWidth="1"/>
    <col min="3" max="3" width="11" style="278" hidden="1" customWidth="1"/>
    <col min="4" max="4" width="6.7109375" style="278" hidden="1" customWidth="1"/>
    <col min="5" max="5" width="22.5703125" style="278" customWidth="1"/>
    <col min="6" max="6" width="32" style="278" customWidth="1"/>
    <col min="7" max="7" width="9.5703125" style="278"/>
    <col min="8" max="8" width="16.42578125" style="278" customWidth="1"/>
    <col min="9" max="256" width="9.5703125" style="278"/>
    <col min="257" max="257" width="4.7109375" style="278" customWidth="1"/>
    <col min="258" max="258" width="40.140625" style="278" customWidth="1"/>
    <col min="259" max="259" width="11" style="278" customWidth="1"/>
    <col min="260" max="260" width="10.7109375" style="278" customWidth="1"/>
    <col min="261" max="261" width="11" style="278" customWidth="1"/>
    <col min="262" max="262" width="15.28515625" style="278" customWidth="1"/>
    <col min="263" max="512" width="9.5703125" style="278"/>
    <col min="513" max="513" width="4.7109375" style="278" customWidth="1"/>
    <col min="514" max="514" width="40.140625" style="278" customWidth="1"/>
    <col min="515" max="515" width="11" style="278" customWidth="1"/>
    <col min="516" max="516" width="10.7109375" style="278" customWidth="1"/>
    <col min="517" max="517" width="11" style="278" customWidth="1"/>
    <col min="518" max="518" width="15.28515625" style="278" customWidth="1"/>
    <col min="519" max="768" width="9.5703125" style="278"/>
    <col min="769" max="769" width="4.7109375" style="278" customWidth="1"/>
    <col min="770" max="770" width="40.140625" style="278" customWidth="1"/>
    <col min="771" max="771" width="11" style="278" customWidth="1"/>
    <col min="772" max="772" width="10.7109375" style="278" customWidth="1"/>
    <col min="773" max="773" width="11" style="278" customWidth="1"/>
    <col min="774" max="774" width="15.28515625" style="278" customWidth="1"/>
    <col min="775" max="1024" width="9.5703125" style="278"/>
    <col min="1025" max="1025" width="4.7109375" style="278" customWidth="1"/>
    <col min="1026" max="1026" width="40.140625" style="278" customWidth="1"/>
    <col min="1027" max="1027" width="11" style="278" customWidth="1"/>
    <col min="1028" max="1028" width="10.7109375" style="278" customWidth="1"/>
    <col min="1029" max="1029" width="11" style="278" customWidth="1"/>
    <col min="1030" max="1030" width="15.28515625" style="278" customWidth="1"/>
    <col min="1031" max="1280" width="9.5703125" style="278"/>
    <col min="1281" max="1281" width="4.7109375" style="278" customWidth="1"/>
    <col min="1282" max="1282" width="40.140625" style="278" customWidth="1"/>
    <col min="1283" max="1283" width="11" style="278" customWidth="1"/>
    <col min="1284" max="1284" width="10.7109375" style="278" customWidth="1"/>
    <col min="1285" max="1285" width="11" style="278" customWidth="1"/>
    <col min="1286" max="1286" width="15.28515625" style="278" customWidth="1"/>
    <col min="1287" max="1536" width="9.5703125" style="278"/>
    <col min="1537" max="1537" width="4.7109375" style="278" customWidth="1"/>
    <col min="1538" max="1538" width="40.140625" style="278" customWidth="1"/>
    <col min="1539" max="1539" width="11" style="278" customWidth="1"/>
    <col min="1540" max="1540" width="10.7109375" style="278" customWidth="1"/>
    <col min="1541" max="1541" width="11" style="278" customWidth="1"/>
    <col min="1542" max="1542" width="15.28515625" style="278" customWidth="1"/>
    <col min="1543" max="1792" width="9.5703125" style="278"/>
    <col min="1793" max="1793" width="4.7109375" style="278" customWidth="1"/>
    <col min="1794" max="1794" width="40.140625" style="278" customWidth="1"/>
    <col min="1795" max="1795" width="11" style="278" customWidth="1"/>
    <col min="1796" max="1796" width="10.7109375" style="278" customWidth="1"/>
    <col min="1797" max="1797" width="11" style="278" customWidth="1"/>
    <col min="1798" max="1798" width="15.28515625" style="278" customWidth="1"/>
    <col min="1799" max="2048" width="9.5703125" style="278"/>
    <col min="2049" max="2049" width="4.7109375" style="278" customWidth="1"/>
    <col min="2050" max="2050" width="40.140625" style="278" customWidth="1"/>
    <col min="2051" max="2051" width="11" style="278" customWidth="1"/>
    <col min="2052" max="2052" width="10.7109375" style="278" customWidth="1"/>
    <col min="2053" max="2053" width="11" style="278" customWidth="1"/>
    <col min="2054" max="2054" width="15.28515625" style="278" customWidth="1"/>
    <col min="2055" max="2304" width="9.5703125" style="278"/>
    <col min="2305" max="2305" width="4.7109375" style="278" customWidth="1"/>
    <col min="2306" max="2306" width="40.140625" style="278" customWidth="1"/>
    <col min="2307" max="2307" width="11" style="278" customWidth="1"/>
    <col min="2308" max="2308" width="10.7109375" style="278" customWidth="1"/>
    <col min="2309" max="2309" width="11" style="278" customWidth="1"/>
    <col min="2310" max="2310" width="15.28515625" style="278" customWidth="1"/>
    <col min="2311" max="2560" width="9.5703125" style="278"/>
    <col min="2561" max="2561" width="4.7109375" style="278" customWidth="1"/>
    <col min="2562" max="2562" width="40.140625" style="278" customWidth="1"/>
    <col min="2563" max="2563" width="11" style="278" customWidth="1"/>
    <col min="2564" max="2564" width="10.7109375" style="278" customWidth="1"/>
    <col min="2565" max="2565" width="11" style="278" customWidth="1"/>
    <col min="2566" max="2566" width="15.28515625" style="278" customWidth="1"/>
    <col min="2567" max="2816" width="9.5703125" style="278"/>
    <col min="2817" max="2817" width="4.7109375" style="278" customWidth="1"/>
    <col min="2818" max="2818" width="40.140625" style="278" customWidth="1"/>
    <col min="2819" max="2819" width="11" style="278" customWidth="1"/>
    <col min="2820" max="2820" width="10.7109375" style="278" customWidth="1"/>
    <col min="2821" max="2821" width="11" style="278" customWidth="1"/>
    <col min="2822" max="2822" width="15.28515625" style="278" customWidth="1"/>
    <col min="2823" max="3072" width="9.5703125" style="278"/>
    <col min="3073" max="3073" width="4.7109375" style="278" customWidth="1"/>
    <col min="3074" max="3074" width="40.140625" style="278" customWidth="1"/>
    <col min="3075" max="3075" width="11" style="278" customWidth="1"/>
    <col min="3076" max="3076" width="10.7109375" style="278" customWidth="1"/>
    <col min="3077" max="3077" width="11" style="278" customWidth="1"/>
    <col min="3078" max="3078" width="15.28515625" style="278" customWidth="1"/>
    <col min="3079" max="3328" width="9.5703125" style="278"/>
    <col min="3329" max="3329" width="4.7109375" style="278" customWidth="1"/>
    <col min="3330" max="3330" width="40.140625" style="278" customWidth="1"/>
    <col min="3331" max="3331" width="11" style="278" customWidth="1"/>
    <col min="3332" max="3332" width="10.7109375" style="278" customWidth="1"/>
    <col min="3333" max="3333" width="11" style="278" customWidth="1"/>
    <col min="3334" max="3334" width="15.28515625" style="278" customWidth="1"/>
    <col min="3335" max="3584" width="9.5703125" style="278"/>
    <col min="3585" max="3585" width="4.7109375" style="278" customWidth="1"/>
    <col min="3586" max="3586" width="40.140625" style="278" customWidth="1"/>
    <col min="3587" max="3587" width="11" style="278" customWidth="1"/>
    <col min="3588" max="3588" width="10.7109375" style="278" customWidth="1"/>
    <col min="3589" max="3589" width="11" style="278" customWidth="1"/>
    <col min="3590" max="3590" width="15.28515625" style="278" customWidth="1"/>
    <col min="3591" max="3840" width="9.5703125" style="278"/>
    <col min="3841" max="3841" width="4.7109375" style="278" customWidth="1"/>
    <col min="3842" max="3842" width="40.140625" style="278" customWidth="1"/>
    <col min="3843" max="3843" width="11" style="278" customWidth="1"/>
    <col min="3844" max="3844" width="10.7109375" style="278" customWidth="1"/>
    <col min="3845" max="3845" width="11" style="278" customWidth="1"/>
    <col min="3846" max="3846" width="15.28515625" style="278" customWidth="1"/>
    <col min="3847" max="4096" width="9.5703125" style="278"/>
    <col min="4097" max="4097" width="4.7109375" style="278" customWidth="1"/>
    <col min="4098" max="4098" width="40.140625" style="278" customWidth="1"/>
    <col min="4099" max="4099" width="11" style="278" customWidth="1"/>
    <col min="4100" max="4100" width="10.7109375" style="278" customWidth="1"/>
    <col min="4101" max="4101" width="11" style="278" customWidth="1"/>
    <col min="4102" max="4102" width="15.28515625" style="278" customWidth="1"/>
    <col min="4103" max="4352" width="9.5703125" style="278"/>
    <col min="4353" max="4353" width="4.7109375" style="278" customWidth="1"/>
    <col min="4354" max="4354" width="40.140625" style="278" customWidth="1"/>
    <col min="4355" max="4355" width="11" style="278" customWidth="1"/>
    <col min="4356" max="4356" width="10.7109375" style="278" customWidth="1"/>
    <col min="4357" max="4357" width="11" style="278" customWidth="1"/>
    <col min="4358" max="4358" width="15.28515625" style="278" customWidth="1"/>
    <col min="4359" max="4608" width="9.5703125" style="278"/>
    <col min="4609" max="4609" width="4.7109375" style="278" customWidth="1"/>
    <col min="4610" max="4610" width="40.140625" style="278" customWidth="1"/>
    <col min="4611" max="4611" width="11" style="278" customWidth="1"/>
    <col min="4612" max="4612" width="10.7109375" style="278" customWidth="1"/>
    <col min="4613" max="4613" width="11" style="278" customWidth="1"/>
    <col min="4614" max="4614" width="15.28515625" style="278" customWidth="1"/>
    <col min="4615" max="4864" width="9.5703125" style="278"/>
    <col min="4865" max="4865" width="4.7109375" style="278" customWidth="1"/>
    <col min="4866" max="4866" width="40.140625" style="278" customWidth="1"/>
    <col min="4867" max="4867" width="11" style="278" customWidth="1"/>
    <col min="4868" max="4868" width="10.7109375" style="278" customWidth="1"/>
    <col min="4869" max="4869" width="11" style="278" customWidth="1"/>
    <col min="4870" max="4870" width="15.28515625" style="278" customWidth="1"/>
    <col min="4871" max="5120" width="9.5703125" style="278"/>
    <col min="5121" max="5121" width="4.7109375" style="278" customWidth="1"/>
    <col min="5122" max="5122" width="40.140625" style="278" customWidth="1"/>
    <col min="5123" max="5123" width="11" style="278" customWidth="1"/>
    <col min="5124" max="5124" width="10.7109375" style="278" customWidth="1"/>
    <col min="5125" max="5125" width="11" style="278" customWidth="1"/>
    <col min="5126" max="5126" width="15.28515625" style="278" customWidth="1"/>
    <col min="5127" max="5376" width="9.5703125" style="278"/>
    <col min="5377" max="5377" width="4.7109375" style="278" customWidth="1"/>
    <col min="5378" max="5378" width="40.140625" style="278" customWidth="1"/>
    <col min="5379" max="5379" width="11" style="278" customWidth="1"/>
    <col min="5380" max="5380" width="10.7109375" style="278" customWidth="1"/>
    <col min="5381" max="5381" width="11" style="278" customWidth="1"/>
    <col min="5382" max="5382" width="15.28515625" style="278" customWidth="1"/>
    <col min="5383" max="5632" width="9.5703125" style="278"/>
    <col min="5633" max="5633" width="4.7109375" style="278" customWidth="1"/>
    <col min="5634" max="5634" width="40.140625" style="278" customWidth="1"/>
    <col min="5635" max="5635" width="11" style="278" customWidth="1"/>
    <col min="5636" max="5636" width="10.7109375" style="278" customWidth="1"/>
    <col min="5637" max="5637" width="11" style="278" customWidth="1"/>
    <col min="5638" max="5638" width="15.28515625" style="278" customWidth="1"/>
    <col min="5639" max="5888" width="9.5703125" style="278"/>
    <col min="5889" max="5889" width="4.7109375" style="278" customWidth="1"/>
    <col min="5890" max="5890" width="40.140625" style="278" customWidth="1"/>
    <col min="5891" max="5891" width="11" style="278" customWidth="1"/>
    <col min="5892" max="5892" width="10.7109375" style="278" customWidth="1"/>
    <col min="5893" max="5893" width="11" style="278" customWidth="1"/>
    <col min="5894" max="5894" width="15.28515625" style="278" customWidth="1"/>
    <col min="5895" max="6144" width="9.5703125" style="278"/>
    <col min="6145" max="6145" width="4.7109375" style="278" customWidth="1"/>
    <col min="6146" max="6146" width="40.140625" style="278" customWidth="1"/>
    <col min="6147" max="6147" width="11" style="278" customWidth="1"/>
    <col min="6148" max="6148" width="10.7109375" style="278" customWidth="1"/>
    <col min="6149" max="6149" width="11" style="278" customWidth="1"/>
    <col min="6150" max="6150" width="15.28515625" style="278" customWidth="1"/>
    <col min="6151" max="6400" width="9.5703125" style="278"/>
    <col min="6401" max="6401" width="4.7109375" style="278" customWidth="1"/>
    <col min="6402" max="6402" width="40.140625" style="278" customWidth="1"/>
    <col min="6403" max="6403" width="11" style="278" customWidth="1"/>
    <col min="6404" max="6404" width="10.7109375" style="278" customWidth="1"/>
    <col min="6405" max="6405" width="11" style="278" customWidth="1"/>
    <col min="6406" max="6406" width="15.28515625" style="278" customWidth="1"/>
    <col min="6407" max="6656" width="9.5703125" style="278"/>
    <col min="6657" max="6657" width="4.7109375" style="278" customWidth="1"/>
    <col min="6658" max="6658" width="40.140625" style="278" customWidth="1"/>
    <col min="6659" max="6659" width="11" style="278" customWidth="1"/>
    <col min="6660" max="6660" width="10.7109375" style="278" customWidth="1"/>
    <col min="6661" max="6661" width="11" style="278" customWidth="1"/>
    <col min="6662" max="6662" width="15.28515625" style="278" customWidth="1"/>
    <col min="6663" max="6912" width="9.5703125" style="278"/>
    <col min="6913" max="6913" width="4.7109375" style="278" customWidth="1"/>
    <col min="6914" max="6914" width="40.140625" style="278" customWidth="1"/>
    <col min="6915" max="6915" width="11" style="278" customWidth="1"/>
    <col min="6916" max="6916" width="10.7109375" style="278" customWidth="1"/>
    <col min="6917" max="6917" width="11" style="278" customWidth="1"/>
    <col min="6918" max="6918" width="15.28515625" style="278" customWidth="1"/>
    <col min="6919" max="7168" width="9.5703125" style="278"/>
    <col min="7169" max="7169" width="4.7109375" style="278" customWidth="1"/>
    <col min="7170" max="7170" width="40.140625" style="278" customWidth="1"/>
    <col min="7171" max="7171" width="11" style="278" customWidth="1"/>
    <col min="7172" max="7172" width="10.7109375" style="278" customWidth="1"/>
    <col min="7173" max="7173" width="11" style="278" customWidth="1"/>
    <col min="7174" max="7174" width="15.28515625" style="278" customWidth="1"/>
    <col min="7175" max="7424" width="9.5703125" style="278"/>
    <col min="7425" max="7425" width="4.7109375" style="278" customWidth="1"/>
    <col min="7426" max="7426" width="40.140625" style="278" customWidth="1"/>
    <col min="7427" max="7427" width="11" style="278" customWidth="1"/>
    <col min="7428" max="7428" width="10.7109375" style="278" customWidth="1"/>
    <col min="7429" max="7429" width="11" style="278" customWidth="1"/>
    <col min="7430" max="7430" width="15.28515625" style="278" customWidth="1"/>
    <col min="7431" max="7680" width="9.5703125" style="278"/>
    <col min="7681" max="7681" width="4.7109375" style="278" customWidth="1"/>
    <col min="7682" max="7682" width="40.140625" style="278" customWidth="1"/>
    <col min="7683" max="7683" width="11" style="278" customWidth="1"/>
    <col min="7684" max="7684" width="10.7109375" style="278" customWidth="1"/>
    <col min="7685" max="7685" width="11" style="278" customWidth="1"/>
    <col min="7686" max="7686" width="15.28515625" style="278" customWidth="1"/>
    <col min="7687" max="7936" width="9.5703125" style="278"/>
    <col min="7937" max="7937" width="4.7109375" style="278" customWidth="1"/>
    <col min="7938" max="7938" width="40.140625" style="278" customWidth="1"/>
    <col min="7939" max="7939" width="11" style="278" customWidth="1"/>
    <col min="7940" max="7940" width="10.7109375" style="278" customWidth="1"/>
    <col min="7941" max="7941" width="11" style="278" customWidth="1"/>
    <col min="7942" max="7942" width="15.28515625" style="278" customWidth="1"/>
    <col min="7943" max="8192" width="9.5703125" style="278"/>
    <col min="8193" max="8193" width="4.7109375" style="278" customWidth="1"/>
    <col min="8194" max="8194" width="40.140625" style="278" customWidth="1"/>
    <col min="8195" max="8195" width="11" style="278" customWidth="1"/>
    <col min="8196" max="8196" width="10.7109375" style="278" customWidth="1"/>
    <col min="8197" max="8197" width="11" style="278" customWidth="1"/>
    <col min="8198" max="8198" width="15.28515625" style="278" customWidth="1"/>
    <col min="8199" max="8448" width="9.5703125" style="278"/>
    <col min="8449" max="8449" width="4.7109375" style="278" customWidth="1"/>
    <col min="8450" max="8450" width="40.140625" style="278" customWidth="1"/>
    <col min="8451" max="8451" width="11" style="278" customWidth="1"/>
    <col min="8452" max="8452" width="10.7109375" style="278" customWidth="1"/>
    <col min="8453" max="8453" width="11" style="278" customWidth="1"/>
    <col min="8454" max="8454" width="15.28515625" style="278" customWidth="1"/>
    <col min="8455" max="8704" width="9.5703125" style="278"/>
    <col min="8705" max="8705" width="4.7109375" style="278" customWidth="1"/>
    <col min="8706" max="8706" width="40.140625" style="278" customWidth="1"/>
    <col min="8707" max="8707" width="11" style="278" customWidth="1"/>
    <col min="8708" max="8708" width="10.7109375" style="278" customWidth="1"/>
    <col min="8709" max="8709" width="11" style="278" customWidth="1"/>
    <col min="8710" max="8710" width="15.28515625" style="278" customWidth="1"/>
    <col min="8711" max="8960" width="9.5703125" style="278"/>
    <col min="8961" max="8961" width="4.7109375" style="278" customWidth="1"/>
    <col min="8962" max="8962" width="40.140625" style="278" customWidth="1"/>
    <col min="8963" max="8963" width="11" style="278" customWidth="1"/>
    <col min="8964" max="8964" width="10.7109375" style="278" customWidth="1"/>
    <col min="8965" max="8965" width="11" style="278" customWidth="1"/>
    <col min="8966" max="8966" width="15.28515625" style="278" customWidth="1"/>
    <col min="8967" max="9216" width="9.5703125" style="278"/>
    <col min="9217" max="9217" width="4.7109375" style="278" customWidth="1"/>
    <col min="9218" max="9218" width="40.140625" style="278" customWidth="1"/>
    <col min="9219" max="9219" width="11" style="278" customWidth="1"/>
    <col min="9220" max="9220" width="10.7109375" style="278" customWidth="1"/>
    <col min="9221" max="9221" width="11" style="278" customWidth="1"/>
    <col min="9222" max="9222" width="15.28515625" style="278" customWidth="1"/>
    <col min="9223" max="9472" width="9.5703125" style="278"/>
    <col min="9473" max="9473" width="4.7109375" style="278" customWidth="1"/>
    <col min="9474" max="9474" width="40.140625" style="278" customWidth="1"/>
    <col min="9475" max="9475" width="11" style="278" customWidth="1"/>
    <col min="9476" max="9476" width="10.7109375" style="278" customWidth="1"/>
    <col min="9477" max="9477" width="11" style="278" customWidth="1"/>
    <col min="9478" max="9478" width="15.28515625" style="278" customWidth="1"/>
    <col min="9479" max="9728" width="9.5703125" style="278"/>
    <col min="9729" max="9729" width="4.7109375" style="278" customWidth="1"/>
    <col min="9730" max="9730" width="40.140625" style="278" customWidth="1"/>
    <col min="9731" max="9731" width="11" style="278" customWidth="1"/>
    <col min="9732" max="9732" width="10.7109375" style="278" customWidth="1"/>
    <col min="9733" max="9733" width="11" style="278" customWidth="1"/>
    <col min="9734" max="9734" width="15.28515625" style="278" customWidth="1"/>
    <col min="9735" max="9984" width="9.5703125" style="278"/>
    <col min="9985" max="9985" width="4.7109375" style="278" customWidth="1"/>
    <col min="9986" max="9986" width="40.140625" style="278" customWidth="1"/>
    <col min="9987" max="9987" width="11" style="278" customWidth="1"/>
    <col min="9988" max="9988" width="10.7109375" style="278" customWidth="1"/>
    <col min="9989" max="9989" width="11" style="278" customWidth="1"/>
    <col min="9990" max="9990" width="15.28515625" style="278" customWidth="1"/>
    <col min="9991" max="10240" width="9.5703125" style="278"/>
    <col min="10241" max="10241" width="4.7109375" style="278" customWidth="1"/>
    <col min="10242" max="10242" width="40.140625" style="278" customWidth="1"/>
    <col min="10243" max="10243" width="11" style="278" customWidth="1"/>
    <col min="10244" max="10244" width="10.7109375" style="278" customWidth="1"/>
    <col min="10245" max="10245" width="11" style="278" customWidth="1"/>
    <col min="10246" max="10246" width="15.28515625" style="278" customWidth="1"/>
    <col min="10247" max="10496" width="9.5703125" style="278"/>
    <col min="10497" max="10497" width="4.7109375" style="278" customWidth="1"/>
    <col min="10498" max="10498" width="40.140625" style="278" customWidth="1"/>
    <col min="10499" max="10499" width="11" style="278" customWidth="1"/>
    <col min="10500" max="10500" width="10.7109375" style="278" customWidth="1"/>
    <col min="10501" max="10501" width="11" style="278" customWidth="1"/>
    <col min="10502" max="10502" width="15.28515625" style="278" customWidth="1"/>
    <col min="10503" max="10752" width="9.5703125" style="278"/>
    <col min="10753" max="10753" width="4.7109375" style="278" customWidth="1"/>
    <col min="10754" max="10754" width="40.140625" style="278" customWidth="1"/>
    <col min="10755" max="10755" width="11" style="278" customWidth="1"/>
    <col min="10756" max="10756" width="10.7109375" style="278" customWidth="1"/>
    <col min="10757" max="10757" width="11" style="278" customWidth="1"/>
    <col min="10758" max="10758" width="15.28515625" style="278" customWidth="1"/>
    <col min="10759" max="11008" width="9.5703125" style="278"/>
    <col min="11009" max="11009" width="4.7109375" style="278" customWidth="1"/>
    <col min="11010" max="11010" width="40.140625" style="278" customWidth="1"/>
    <col min="11011" max="11011" width="11" style="278" customWidth="1"/>
    <col min="11012" max="11012" width="10.7109375" style="278" customWidth="1"/>
    <col min="11013" max="11013" width="11" style="278" customWidth="1"/>
    <col min="11014" max="11014" width="15.28515625" style="278" customWidth="1"/>
    <col min="11015" max="11264" width="9.5703125" style="278"/>
    <col min="11265" max="11265" width="4.7109375" style="278" customWidth="1"/>
    <col min="11266" max="11266" width="40.140625" style="278" customWidth="1"/>
    <col min="11267" max="11267" width="11" style="278" customWidth="1"/>
    <col min="11268" max="11268" width="10.7109375" style="278" customWidth="1"/>
    <col min="11269" max="11269" width="11" style="278" customWidth="1"/>
    <col min="11270" max="11270" width="15.28515625" style="278" customWidth="1"/>
    <col min="11271" max="11520" width="9.5703125" style="278"/>
    <col min="11521" max="11521" width="4.7109375" style="278" customWidth="1"/>
    <col min="11522" max="11522" width="40.140625" style="278" customWidth="1"/>
    <col min="11523" max="11523" width="11" style="278" customWidth="1"/>
    <col min="11524" max="11524" width="10.7109375" style="278" customWidth="1"/>
    <col min="11525" max="11525" width="11" style="278" customWidth="1"/>
    <col min="11526" max="11526" width="15.28515625" style="278" customWidth="1"/>
    <col min="11527" max="11776" width="9.5703125" style="278"/>
    <col min="11777" max="11777" width="4.7109375" style="278" customWidth="1"/>
    <col min="11778" max="11778" width="40.140625" style="278" customWidth="1"/>
    <col min="11779" max="11779" width="11" style="278" customWidth="1"/>
    <col min="11780" max="11780" width="10.7109375" style="278" customWidth="1"/>
    <col min="11781" max="11781" width="11" style="278" customWidth="1"/>
    <col min="11782" max="11782" width="15.28515625" style="278" customWidth="1"/>
    <col min="11783" max="12032" width="9.5703125" style="278"/>
    <col min="12033" max="12033" width="4.7109375" style="278" customWidth="1"/>
    <col min="12034" max="12034" width="40.140625" style="278" customWidth="1"/>
    <col min="12035" max="12035" width="11" style="278" customWidth="1"/>
    <col min="12036" max="12036" width="10.7109375" style="278" customWidth="1"/>
    <col min="12037" max="12037" width="11" style="278" customWidth="1"/>
    <col min="12038" max="12038" width="15.28515625" style="278" customWidth="1"/>
    <col min="12039" max="12288" width="9.5703125" style="278"/>
    <col min="12289" max="12289" width="4.7109375" style="278" customWidth="1"/>
    <col min="12290" max="12290" width="40.140625" style="278" customWidth="1"/>
    <col min="12291" max="12291" width="11" style="278" customWidth="1"/>
    <col min="12292" max="12292" width="10.7109375" style="278" customWidth="1"/>
    <col min="12293" max="12293" width="11" style="278" customWidth="1"/>
    <col min="12294" max="12294" width="15.28515625" style="278" customWidth="1"/>
    <col min="12295" max="12544" width="9.5703125" style="278"/>
    <col min="12545" max="12545" width="4.7109375" style="278" customWidth="1"/>
    <col min="12546" max="12546" width="40.140625" style="278" customWidth="1"/>
    <col min="12547" max="12547" width="11" style="278" customWidth="1"/>
    <col min="12548" max="12548" width="10.7109375" style="278" customWidth="1"/>
    <col min="12549" max="12549" width="11" style="278" customWidth="1"/>
    <col min="12550" max="12550" width="15.28515625" style="278" customWidth="1"/>
    <col min="12551" max="12800" width="9.5703125" style="278"/>
    <col min="12801" max="12801" width="4.7109375" style="278" customWidth="1"/>
    <col min="12802" max="12802" width="40.140625" style="278" customWidth="1"/>
    <col min="12803" max="12803" width="11" style="278" customWidth="1"/>
    <col min="12804" max="12804" width="10.7109375" style="278" customWidth="1"/>
    <col min="12805" max="12805" width="11" style="278" customWidth="1"/>
    <col min="12806" max="12806" width="15.28515625" style="278" customWidth="1"/>
    <col min="12807" max="13056" width="9.5703125" style="278"/>
    <col min="13057" max="13057" width="4.7109375" style="278" customWidth="1"/>
    <col min="13058" max="13058" width="40.140625" style="278" customWidth="1"/>
    <col min="13059" max="13059" width="11" style="278" customWidth="1"/>
    <col min="13060" max="13060" width="10.7109375" style="278" customWidth="1"/>
    <col min="13061" max="13061" width="11" style="278" customWidth="1"/>
    <col min="13062" max="13062" width="15.28515625" style="278" customWidth="1"/>
    <col min="13063" max="13312" width="9.5703125" style="278"/>
    <col min="13313" max="13313" width="4.7109375" style="278" customWidth="1"/>
    <col min="13314" max="13314" width="40.140625" style="278" customWidth="1"/>
    <col min="13315" max="13315" width="11" style="278" customWidth="1"/>
    <col min="13316" max="13316" width="10.7109375" style="278" customWidth="1"/>
    <col min="13317" max="13317" width="11" style="278" customWidth="1"/>
    <col min="13318" max="13318" width="15.28515625" style="278" customWidth="1"/>
    <col min="13319" max="13568" width="9.5703125" style="278"/>
    <col min="13569" max="13569" width="4.7109375" style="278" customWidth="1"/>
    <col min="13570" max="13570" width="40.140625" style="278" customWidth="1"/>
    <col min="13571" max="13571" width="11" style="278" customWidth="1"/>
    <col min="13572" max="13572" width="10.7109375" style="278" customWidth="1"/>
    <col min="13573" max="13573" width="11" style="278" customWidth="1"/>
    <col min="13574" max="13574" width="15.28515625" style="278" customWidth="1"/>
    <col min="13575" max="13824" width="9.5703125" style="278"/>
    <col min="13825" max="13825" width="4.7109375" style="278" customWidth="1"/>
    <col min="13826" max="13826" width="40.140625" style="278" customWidth="1"/>
    <col min="13827" max="13827" width="11" style="278" customWidth="1"/>
    <col min="13828" max="13828" width="10.7109375" style="278" customWidth="1"/>
    <col min="13829" max="13829" width="11" style="278" customWidth="1"/>
    <col min="13830" max="13830" width="15.28515625" style="278" customWidth="1"/>
    <col min="13831" max="14080" width="9.5703125" style="278"/>
    <col min="14081" max="14081" width="4.7109375" style="278" customWidth="1"/>
    <col min="14082" max="14082" width="40.140625" style="278" customWidth="1"/>
    <col min="14083" max="14083" width="11" style="278" customWidth="1"/>
    <col min="14084" max="14084" width="10.7109375" style="278" customWidth="1"/>
    <col min="14085" max="14085" width="11" style="278" customWidth="1"/>
    <col min="14086" max="14086" width="15.28515625" style="278" customWidth="1"/>
    <col min="14087" max="14336" width="9.5703125" style="278"/>
    <col min="14337" max="14337" width="4.7109375" style="278" customWidth="1"/>
    <col min="14338" max="14338" width="40.140625" style="278" customWidth="1"/>
    <col min="14339" max="14339" width="11" style="278" customWidth="1"/>
    <col min="14340" max="14340" width="10.7109375" style="278" customWidth="1"/>
    <col min="14341" max="14341" width="11" style="278" customWidth="1"/>
    <col min="14342" max="14342" width="15.28515625" style="278" customWidth="1"/>
    <col min="14343" max="14592" width="9.5703125" style="278"/>
    <col min="14593" max="14593" width="4.7109375" style="278" customWidth="1"/>
    <col min="14594" max="14594" width="40.140625" style="278" customWidth="1"/>
    <col min="14595" max="14595" width="11" style="278" customWidth="1"/>
    <col min="14596" max="14596" width="10.7109375" style="278" customWidth="1"/>
    <col min="14597" max="14597" width="11" style="278" customWidth="1"/>
    <col min="14598" max="14598" width="15.28515625" style="278" customWidth="1"/>
    <col min="14599" max="14848" width="9.5703125" style="278"/>
    <col min="14849" max="14849" width="4.7109375" style="278" customWidth="1"/>
    <col min="14850" max="14850" width="40.140625" style="278" customWidth="1"/>
    <col min="14851" max="14851" width="11" style="278" customWidth="1"/>
    <col min="14852" max="14852" width="10.7109375" style="278" customWidth="1"/>
    <col min="14853" max="14853" width="11" style="278" customWidth="1"/>
    <col min="14854" max="14854" width="15.28515625" style="278" customWidth="1"/>
    <col min="14855" max="15104" width="9.5703125" style="278"/>
    <col min="15105" max="15105" width="4.7109375" style="278" customWidth="1"/>
    <col min="15106" max="15106" width="40.140625" style="278" customWidth="1"/>
    <col min="15107" max="15107" width="11" style="278" customWidth="1"/>
    <col min="15108" max="15108" width="10.7109375" style="278" customWidth="1"/>
    <col min="15109" max="15109" width="11" style="278" customWidth="1"/>
    <col min="15110" max="15110" width="15.28515625" style="278" customWidth="1"/>
    <col min="15111" max="15360" width="9.5703125" style="278"/>
    <col min="15361" max="15361" width="4.7109375" style="278" customWidth="1"/>
    <col min="15362" max="15362" width="40.140625" style="278" customWidth="1"/>
    <col min="15363" max="15363" width="11" style="278" customWidth="1"/>
    <col min="15364" max="15364" width="10.7109375" style="278" customWidth="1"/>
    <col min="15365" max="15365" width="11" style="278" customWidth="1"/>
    <col min="15366" max="15366" width="15.28515625" style="278" customWidth="1"/>
    <col min="15367" max="15616" width="9.5703125" style="278"/>
    <col min="15617" max="15617" width="4.7109375" style="278" customWidth="1"/>
    <col min="15618" max="15618" width="40.140625" style="278" customWidth="1"/>
    <col min="15619" max="15619" width="11" style="278" customWidth="1"/>
    <col min="15620" max="15620" width="10.7109375" style="278" customWidth="1"/>
    <col min="15621" max="15621" width="11" style="278" customWidth="1"/>
    <col min="15622" max="15622" width="15.28515625" style="278" customWidth="1"/>
    <col min="15623" max="15872" width="9.5703125" style="278"/>
    <col min="15873" max="15873" width="4.7109375" style="278" customWidth="1"/>
    <col min="15874" max="15874" width="40.140625" style="278" customWidth="1"/>
    <col min="15875" max="15875" width="11" style="278" customWidth="1"/>
    <col min="15876" max="15876" width="10.7109375" style="278" customWidth="1"/>
    <col min="15877" max="15877" width="11" style="278" customWidth="1"/>
    <col min="15878" max="15878" width="15.28515625" style="278" customWidth="1"/>
    <col min="15879" max="16128" width="9.5703125" style="278"/>
    <col min="16129" max="16129" width="4.7109375" style="278" customWidth="1"/>
    <col min="16130" max="16130" width="40.140625" style="278" customWidth="1"/>
    <col min="16131" max="16131" width="11" style="278" customWidth="1"/>
    <col min="16132" max="16132" width="10.7109375" style="278" customWidth="1"/>
    <col min="16133" max="16133" width="11" style="278" customWidth="1"/>
    <col min="16134" max="16134" width="15.28515625" style="278" customWidth="1"/>
    <col min="16135" max="16384" width="9.5703125" style="278"/>
  </cols>
  <sheetData>
    <row r="1" spans="1:9" ht="20.25" customHeight="1" x14ac:dyDescent="0.2">
      <c r="F1" s="380" t="s">
        <v>392</v>
      </c>
    </row>
    <row r="2" spans="1:9" ht="28.5" customHeight="1" x14ac:dyDescent="0.2">
      <c r="A2" s="694" t="s">
        <v>633</v>
      </c>
      <c r="B2" s="694"/>
      <c r="C2" s="694"/>
      <c r="D2" s="694"/>
      <c r="E2" s="694"/>
      <c r="F2" s="694"/>
    </row>
    <row r="3" spans="1:9" ht="28.5" customHeight="1" x14ac:dyDescent="0.2">
      <c r="A3" s="695" t="str">
        <f>'KHV QHXD'!A3:G3</f>
        <v>(Kèm theo Kế hoạch số ……./KH-UBND ngày ……./……/2023 của UBND huyện Tân Yên)</v>
      </c>
      <c r="B3" s="695"/>
      <c r="C3" s="695"/>
      <c r="D3" s="695"/>
      <c r="E3" s="695"/>
      <c r="F3" s="695"/>
    </row>
    <row r="4" spans="1:9" x14ac:dyDescent="0.2">
      <c r="E4" s="696" t="s">
        <v>197</v>
      </c>
      <c r="F4" s="697"/>
    </row>
    <row r="5" spans="1:9" s="279" customFormat="1" ht="36.75" customHeight="1" x14ac:dyDescent="0.2">
      <c r="A5" s="398" t="s">
        <v>35</v>
      </c>
      <c r="B5" s="398" t="s">
        <v>320</v>
      </c>
      <c r="C5" s="698" t="s">
        <v>321</v>
      </c>
      <c r="D5" s="698"/>
      <c r="E5" s="328" t="s">
        <v>344</v>
      </c>
      <c r="F5" s="398" t="s">
        <v>322</v>
      </c>
    </row>
    <row r="6" spans="1:9" s="279" customFormat="1" ht="16.5" x14ac:dyDescent="0.2">
      <c r="A6" s="333"/>
      <c r="B6" s="333" t="s">
        <v>345</v>
      </c>
      <c r="C6" s="397"/>
      <c r="D6" s="397"/>
      <c r="E6" s="396">
        <f>SUM(E7:E16)</f>
        <v>64430</v>
      </c>
      <c r="F6" s="333"/>
      <c r="H6" s="541">
        <f>64430-E6</f>
        <v>0</v>
      </c>
    </row>
    <row r="7" spans="1:9" ht="29.25" customHeight="1" x14ac:dyDescent="0.2">
      <c r="A7" s="329">
        <v>1</v>
      </c>
      <c r="B7" s="162" t="s">
        <v>323</v>
      </c>
      <c r="C7" s="330" t="e">
        <f>#REF!+#REF!</f>
        <v>#REF!</v>
      </c>
      <c r="D7" s="330" t="e">
        <f>#REF!+#REF!</f>
        <v>#REF!</v>
      </c>
      <c r="E7" s="330">
        <v>500</v>
      </c>
      <c r="F7" s="331" t="s">
        <v>324</v>
      </c>
    </row>
    <row r="8" spans="1:9" ht="49.5" x14ac:dyDescent="0.2">
      <c r="A8" s="329">
        <v>2</v>
      </c>
      <c r="B8" s="162" t="s">
        <v>325</v>
      </c>
      <c r="C8" s="330">
        <v>1200</v>
      </c>
      <c r="D8" s="330">
        <v>1200</v>
      </c>
      <c r="E8" s="330">
        <v>2000</v>
      </c>
      <c r="F8" s="331" t="s">
        <v>324</v>
      </c>
    </row>
    <row r="9" spans="1:9" ht="29.25" customHeight="1" x14ac:dyDescent="0.2">
      <c r="A9" s="329">
        <v>3</v>
      </c>
      <c r="B9" s="162" t="s">
        <v>326</v>
      </c>
      <c r="C9" s="330">
        <v>250</v>
      </c>
      <c r="D9" s="332">
        <v>250</v>
      </c>
      <c r="E9" s="330">
        <f>100+100+200+100+100+100+100+100+100</f>
        <v>1000</v>
      </c>
      <c r="F9" s="331" t="s">
        <v>324</v>
      </c>
    </row>
    <row r="10" spans="1:9" ht="33" x14ac:dyDescent="0.2">
      <c r="A10" s="329">
        <v>4</v>
      </c>
      <c r="B10" s="162" t="s">
        <v>610</v>
      </c>
      <c r="C10" s="330">
        <v>1000</v>
      </c>
      <c r="D10" s="332">
        <v>0</v>
      </c>
      <c r="E10" s="330">
        <v>1000</v>
      </c>
      <c r="F10" s="331" t="s">
        <v>324</v>
      </c>
      <c r="I10" s="280"/>
    </row>
    <row r="11" spans="1:9" ht="25.5" customHeight="1" x14ac:dyDescent="0.2">
      <c r="A11" s="329">
        <v>5</v>
      </c>
      <c r="B11" s="162" t="s">
        <v>609</v>
      </c>
      <c r="C11" s="330">
        <v>1200</v>
      </c>
      <c r="D11" s="332">
        <v>1200</v>
      </c>
      <c r="E11" s="330">
        <v>800</v>
      </c>
      <c r="F11" s="331" t="s">
        <v>324</v>
      </c>
    </row>
    <row r="12" spans="1:9" ht="32.25" customHeight="1" x14ac:dyDescent="0.2">
      <c r="A12" s="329">
        <v>6</v>
      </c>
      <c r="B12" s="162" t="s">
        <v>628</v>
      </c>
      <c r="C12" s="330">
        <v>1300</v>
      </c>
      <c r="D12" s="332">
        <v>1300</v>
      </c>
      <c r="E12" s="330">
        <v>1700</v>
      </c>
      <c r="F12" s="331" t="s">
        <v>324</v>
      </c>
    </row>
    <row r="13" spans="1:9" ht="32.25" customHeight="1" x14ac:dyDescent="0.2">
      <c r="A13" s="329">
        <v>7</v>
      </c>
      <c r="B13" s="162" t="s">
        <v>327</v>
      </c>
      <c r="C13" s="330">
        <v>200</v>
      </c>
      <c r="D13" s="332">
        <v>0</v>
      </c>
      <c r="E13" s="330">
        <v>200</v>
      </c>
      <c r="F13" s="331" t="s">
        <v>324</v>
      </c>
    </row>
    <row r="14" spans="1:9" ht="32.25" customHeight="1" x14ac:dyDescent="0.2">
      <c r="A14" s="329">
        <v>8</v>
      </c>
      <c r="B14" s="162" t="s">
        <v>328</v>
      </c>
      <c r="C14" s="330">
        <v>200</v>
      </c>
      <c r="D14" s="332">
        <v>0</v>
      </c>
      <c r="E14" s="330">
        <v>200</v>
      </c>
      <c r="F14" s="331" t="s">
        <v>324</v>
      </c>
    </row>
    <row r="15" spans="1:9" ht="29.25" customHeight="1" x14ac:dyDescent="0.2">
      <c r="A15" s="329">
        <v>9</v>
      </c>
      <c r="B15" s="162" t="s">
        <v>611</v>
      </c>
      <c r="C15" s="330">
        <v>1000</v>
      </c>
      <c r="D15" s="332">
        <v>1000</v>
      </c>
      <c r="E15" s="330">
        <v>54630</v>
      </c>
      <c r="F15" s="331" t="s">
        <v>612</v>
      </c>
      <c r="H15" s="280"/>
    </row>
    <row r="16" spans="1:9" ht="32.25" customHeight="1" x14ac:dyDescent="0.2">
      <c r="A16" s="329">
        <v>10</v>
      </c>
      <c r="B16" s="162" t="s">
        <v>631</v>
      </c>
      <c r="C16" s="330"/>
      <c r="D16" s="332"/>
      <c r="E16" s="330">
        <v>2400</v>
      </c>
      <c r="F16" s="331" t="s">
        <v>632</v>
      </c>
    </row>
    <row r="21" spans="2:6" ht="14.25" x14ac:dyDescent="0.2">
      <c r="B21" s="694"/>
      <c r="C21" s="694"/>
      <c r="D21" s="694"/>
      <c r="E21" s="694"/>
      <c r="F21" s="694"/>
    </row>
  </sheetData>
  <mergeCells count="5">
    <mergeCell ref="B21:F21"/>
    <mergeCell ref="A2:F2"/>
    <mergeCell ref="A3:F3"/>
    <mergeCell ref="E4:F4"/>
    <mergeCell ref="C5:D5"/>
  </mergeCells>
  <pageMargins left="0.70866141732283472" right="0.31496062992125984" top="0.55118110236220474" bottom="0.74803149606299213" header="0.31496062992125984" footer="0.31496062992125984"/>
  <pageSetup paperSize="9" orientation="landscape" r:id="rId1"/>
  <headerFooter>
    <oddFooter>&amp;A&amp;RPage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0"/>
  <sheetViews>
    <sheetView workbookViewId="0">
      <selection activeCell="J75" sqref="J75"/>
    </sheetView>
  </sheetViews>
  <sheetFormatPr defaultRowHeight="15.75" x14ac:dyDescent="0.25"/>
  <cols>
    <col min="1" max="1" width="5.28515625" style="229" customWidth="1"/>
    <col min="2" max="2" width="38.42578125" style="510" customWidth="1"/>
    <col min="3" max="3" width="14.28515625" style="229" customWidth="1"/>
    <col min="4" max="4" width="13.7109375" style="511" hidden="1" customWidth="1"/>
    <col min="5" max="5" width="13.42578125" style="511" hidden="1" customWidth="1"/>
    <col min="6" max="8" width="13.42578125" style="57" hidden="1" customWidth="1"/>
    <col min="9" max="9" width="10.42578125" style="57" customWidth="1"/>
    <col min="10" max="10" width="16.28515625" style="57" customWidth="1"/>
    <col min="11" max="11" width="16.85546875" style="57" customWidth="1"/>
    <col min="12" max="12" width="45" style="217" customWidth="1"/>
    <col min="13" max="13" width="17.7109375" style="217" customWidth="1"/>
    <col min="14" max="14" width="20.5703125" style="217" customWidth="1"/>
    <col min="15" max="15" width="19.85546875" style="217" customWidth="1"/>
    <col min="16" max="16" width="23.42578125" style="57" customWidth="1"/>
    <col min="17" max="17" width="14.7109375" style="57" customWidth="1"/>
    <col min="18" max="258" width="9.140625" style="57"/>
    <col min="259" max="259" width="5" style="57" customWidth="1"/>
    <col min="260" max="260" width="39.7109375" style="57" customWidth="1"/>
    <col min="261" max="261" width="13.42578125" style="57" customWidth="1"/>
    <col min="262" max="264" width="0" style="57" hidden="1" customWidth="1"/>
    <col min="265" max="265" width="8.85546875" style="57" customWidth="1"/>
    <col min="266" max="266" width="16" style="57" customWidth="1"/>
    <col min="267" max="267" width="16.85546875" style="57" customWidth="1"/>
    <col min="268" max="268" width="34.7109375" style="57" customWidth="1"/>
    <col min="269" max="269" width="19.140625" style="57" customWidth="1"/>
    <col min="270" max="270" width="16" style="57" customWidth="1"/>
    <col min="271" max="271" width="13.140625" style="57" customWidth="1"/>
    <col min="272" max="272" width="23.42578125" style="57" customWidth="1"/>
    <col min="273" max="273" width="14.7109375" style="57" customWidth="1"/>
    <col min="274" max="514" width="9.140625" style="57"/>
    <col min="515" max="515" width="5" style="57" customWidth="1"/>
    <col min="516" max="516" width="39.7109375" style="57" customWidth="1"/>
    <col min="517" max="517" width="13.42578125" style="57" customWidth="1"/>
    <col min="518" max="520" width="0" style="57" hidden="1" customWidth="1"/>
    <col min="521" max="521" width="8.85546875" style="57" customWidth="1"/>
    <col min="522" max="522" width="16" style="57" customWidth="1"/>
    <col min="523" max="523" width="16.85546875" style="57" customWidth="1"/>
    <col min="524" max="524" width="34.7109375" style="57" customWidth="1"/>
    <col min="525" max="525" width="19.140625" style="57" customWidth="1"/>
    <col min="526" max="526" width="16" style="57" customWidth="1"/>
    <col min="527" max="527" width="13.140625" style="57" customWidth="1"/>
    <col min="528" max="528" width="23.42578125" style="57" customWidth="1"/>
    <col min="529" max="529" width="14.7109375" style="57" customWidth="1"/>
    <col min="530" max="770" width="9.140625" style="57"/>
    <col min="771" max="771" width="5" style="57" customWidth="1"/>
    <col min="772" max="772" width="39.7109375" style="57" customWidth="1"/>
    <col min="773" max="773" width="13.42578125" style="57" customWidth="1"/>
    <col min="774" max="776" width="0" style="57" hidden="1" customWidth="1"/>
    <col min="777" max="777" width="8.85546875" style="57" customWidth="1"/>
    <col min="778" max="778" width="16" style="57" customWidth="1"/>
    <col min="779" max="779" width="16.85546875" style="57" customWidth="1"/>
    <col min="780" max="780" width="34.7109375" style="57" customWidth="1"/>
    <col min="781" max="781" width="19.140625" style="57" customWidth="1"/>
    <col min="782" max="782" width="16" style="57" customWidth="1"/>
    <col min="783" max="783" width="13.140625" style="57" customWidth="1"/>
    <col min="784" max="784" width="23.42578125" style="57" customWidth="1"/>
    <col min="785" max="785" width="14.7109375" style="57" customWidth="1"/>
    <col min="786" max="1026" width="9.140625" style="57"/>
    <col min="1027" max="1027" width="5" style="57" customWidth="1"/>
    <col min="1028" max="1028" width="39.7109375" style="57" customWidth="1"/>
    <col min="1029" max="1029" width="13.42578125" style="57" customWidth="1"/>
    <col min="1030" max="1032" width="0" style="57" hidden="1" customWidth="1"/>
    <col min="1033" max="1033" width="8.85546875" style="57" customWidth="1"/>
    <col min="1034" max="1034" width="16" style="57" customWidth="1"/>
    <col min="1035" max="1035" width="16.85546875" style="57" customWidth="1"/>
    <col min="1036" max="1036" width="34.7109375" style="57" customWidth="1"/>
    <col min="1037" max="1037" width="19.140625" style="57" customWidth="1"/>
    <col min="1038" max="1038" width="16" style="57" customWidth="1"/>
    <col min="1039" max="1039" width="13.140625" style="57" customWidth="1"/>
    <col min="1040" max="1040" width="23.42578125" style="57" customWidth="1"/>
    <col min="1041" max="1041" width="14.7109375" style="57" customWidth="1"/>
    <col min="1042" max="1282" width="9.140625" style="57"/>
    <col min="1283" max="1283" width="5" style="57" customWidth="1"/>
    <col min="1284" max="1284" width="39.7109375" style="57" customWidth="1"/>
    <col min="1285" max="1285" width="13.42578125" style="57" customWidth="1"/>
    <col min="1286" max="1288" width="0" style="57" hidden="1" customWidth="1"/>
    <col min="1289" max="1289" width="8.85546875" style="57" customWidth="1"/>
    <col min="1290" max="1290" width="16" style="57" customWidth="1"/>
    <col min="1291" max="1291" width="16.85546875" style="57" customWidth="1"/>
    <col min="1292" max="1292" width="34.7109375" style="57" customWidth="1"/>
    <col min="1293" max="1293" width="19.140625" style="57" customWidth="1"/>
    <col min="1294" max="1294" width="16" style="57" customWidth="1"/>
    <col min="1295" max="1295" width="13.140625" style="57" customWidth="1"/>
    <col min="1296" max="1296" width="23.42578125" style="57" customWidth="1"/>
    <col min="1297" max="1297" width="14.7109375" style="57" customWidth="1"/>
    <col min="1298" max="1538" width="9.140625" style="57"/>
    <col min="1539" max="1539" width="5" style="57" customWidth="1"/>
    <col min="1540" max="1540" width="39.7109375" style="57" customWidth="1"/>
    <col min="1541" max="1541" width="13.42578125" style="57" customWidth="1"/>
    <col min="1542" max="1544" width="0" style="57" hidden="1" customWidth="1"/>
    <col min="1545" max="1545" width="8.85546875" style="57" customWidth="1"/>
    <col min="1546" max="1546" width="16" style="57" customWidth="1"/>
    <col min="1547" max="1547" width="16.85546875" style="57" customWidth="1"/>
    <col min="1548" max="1548" width="34.7109375" style="57" customWidth="1"/>
    <col min="1549" max="1549" width="19.140625" style="57" customWidth="1"/>
    <col min="1550" max="1550" width="16" style="57" customWidth="1"/>
    <col min="1551" max="1551" width="13.140625" style="57" customWidth="1"/>
    <col min="1552" max="1552" width="23.42578125" style="57" customWidth="1"/>
    <col min="1553" max="1553" width="14.7109375" style="57" customWidth="1"/>
    <col min="1554" max="1794" width="9.140625" style="57"/>
    <col min="1795" max="1795" width="5" style="57" customWidth="1"/>
    <col min="1796" max="1796" width="39.7109375" style="57" customWidth="1"/>
    <col min="1797" max="1797" width="13.42578125" style="57" customWidth="1"/>
    <col min="1798" max="1800" width="0" style="57" hidden="1" customWidth="1"/>
    <col min="1801" max="1801" width="8.85546875" style="57" customWidth="1"/>
    <col min="1802" max="1802" width="16" style="57" customWidth="1"/>
    <col min="1803" max="1803" width="16.85546875" style="57" customWidth="1"/>
    <col min="1804" max="1804" width="34.7109375" style="57" customWidth="1"/>
    <col min="1805" max="1805" width="19.140625" style="57" customWidth="1"/>
    <col min="1806" max="1806" width="16" style="57" customWidth="1"/>
    <col min="1807" max="1807" width="13.140625" style="57" customWidth="1"/>
    <col min="1808" max="1808" width="23.42578125" style="57" customWidth="1"/>
    <col min="1809" max="1809" width="14.7109375" style="57" customWidth="1"/>
    <col min="1810" max="2050" width="9.140625" style="57"/>
    <col min="2051" max="2051" width="5" style="57" customWidth="1"/>
    <col min="2052" max="2052" width="39.7109375" style="57" customWidth="1"/>
    <col min="2053" max="2053" width="13.42578125" style="57" customWidth="1"/>
    <col min="2054" max="2056" width="0" style="57" hidden="1" customWidth="1"/>
    <col min="2057" max="2057" width="8.85546875" style="57" customWidth="1"/>
    <col min="2058" max="2058" width="16" style="57" customWidth="1"/>
    <col min="2059" max="2059" width="16.85546875" style="57" customWidth="1"/>
    <col min="2060" max="2060" width="34.7109375" style="57" customWidth="1"/>
    <col min="2061" max="2061" width="19.140625" style="57" customWidth="1"/>
    <col min="2062" max="2062" width="16" style="57" customWidth="1"/>
    <col min="2063" max="2063" width="13.140625" style="57" customWidth="1"/>
    <col min="2064" max="2064" width="23.42578125" style="57" customWidth="1"/>
    <col min="2065" max="2065" width="14.7109375" style="57" customWidth="1"/>
    <col min="2066" max="2306" width="9.140625" style="57"/>
    <col min="2307" max="2307" width="5" style="57" customWidth="1"/>
    <col min="2308" max="2308" width="39.7109375" style="57" customWidth="1"/>
    <col min="2309" max="2309" width="13.42578125" style="57" customWidth="1"/>
    <col min="2310" max="2312" width="0" style="57" hidden="1" customWidth="1"/>
    <col min="2313" max="2313" width="8.85546875" style="57" customWidth="1"/>
    <col min="2314" max="2314" width="16" style="57" customWidth="1"/>
    <col min="2315" max="2315" width="16.85546875" style="57" customWidth="1"/>
    <col min="2316" max="2316" width="34.7109375" style="57" customWidth="1"/>
    <col min="2317" max="2317" width="19.140625" style="57" customWidth="1"/>
    <col min="2318" max="2318" width="16" style="57" customWidth="1"/>
    <col min="2319" max="2319" width="13.140625" style="57" customWidth="1"/>
    <col min="2320" max="2320" width="23.42578125" style="57" customWidth="1"/>
    <col min="2321" max="2321" width="14.7109375" style="57" customWidth="1"/>
    <col min="2322" max="2562" width="9.140625" style="57"/>
    <col min="2563" max="2563" width="5" style="57" customWidth="1"/>
    <col min="2564" max="2564" width="39.7109375" style="57" customWidth="1"/>
    <col min="2565" max="2565" width="13.42578125" style="57" customWidth="1"/>
    <col min="2566" max="2568" width="0" style="57" hidden="1" customWidth="1"/>
    <col min="2569" max="2569" width="8.85546875" style="57" customWidth="1"/>
    <col min="2570" max="2570" width="16" style="57" customWidth="1"/>
    <col min="2571" max="2571" width="16.85546875" style="57" customWidth="1"/>
    <col min="2572" max="2572" width="34.7109375" style="57" customWidth="1"/>
    <col min="2573" max="2573" width="19.140625" style="57" customWidth="1"/>
    <col min="2574" max="2574" width="16" style="57" customWidth="1"/>
    <col min="2575" max="2575" width="13.140625" style="57" customWidth="1"/>
    <col min="2576" max="2576" width="23.42578125" style="57" customWidth="1"/>
    <col min="2577" max="2577" width="14.7109375" style="57" customWidth="1"/>
    <col min="2578" max="2818" width="9.140625" style="57"/>
    <col min="2819" max="2819" width="5" style="57" customWidth="1"/>
    <col min="2820" max="2820" width="39.7109375" style="57" customWidth="1"/>
    <col min="2821" max="2821" width="13.42578125" style="57" customWidth="1"/>
    <col min="2822" max="2824" width="0" style="57" hidden="1" customWidth="1"/>
    <col min="2825" max="2825" width="8.85546875" style="57" customWidth="1"/>
    <col min="2826" max="2826" width="16" style="57" customWidth="1"/>
    <col min="2827" max="2827" width="16.85546875" style="57" customWidth="1"/>
    <col min="2828" max="2828" width="34.7109375" style="57" customWidth="1"/>
    <col min="2829" max="2829" width="19.140625" style="57" customWidth="1"/>
    <col min="2830" max="2830" width="16" style="57" customWidth="1"/>
    <col min="2831" max="2831" width="13.140625" style="57" customWidth="1"/>
    <col min="2832" max="2832" width="23.42578125" style="57" customWidth="1"/>
    <col min="2833" max="2833" width="14.7109375" style="57" customWidth="1"/>
    <col min="2834" max="3074" width="9.140625" style="57"/>
    <col min="3075" max="3075" width="5" style="57" customWidth="1"/>
    <col min="3076" max="3076" width="39.7109375" style="57" customWidth="1"/>
    <col min="3077" max="3077" width="13.42578125" style="57" customWidth="1"/>
    <col min="3078" max="3080" width="0" style="57" hidden="1" customWidth="1"/>
    <col min="3081" max="3081" width="8.85546875" style="57" customWidth="1"/>
    <col min="3082" max="3082" width="16" style="57" customWidth="1"/>
    <col min="3083" max="3083" width="16.85546875" style="57" customWidth="1"/>
    <col min="3084" max="3084" width="34.7109375" style="57" customWidth="1"/>
    <col min="3085" max="3085" width="19.140625" style="57" customWidth="1"/>
    <col min="3086" max="3086" width="16" style="57" customWidth="1"/>
    <col min="3087" max="3087" width="13.140625" style="57" customWidth="1"/>
    <col min="3088" max="3088" width="23.42578125" style="57" customWidth="1"/>
    <col min="3089" max="3089" width="14.7109375" style="57" customWidth="1"/>
    <col min="3090" max="3330" width="9.140625" style="57"/>
    <col min="3331" max="3331" width="5" style="57" customWidth="1"/>
    <col min="3332" max="3332" width="39.7109375" style="57" customWidth="1"/>
    <col min="3333" max="3333" width="13.42578125" style="57" customWidth="1"/>
    <col min="3334" max="3336" width="0" style="57" hidden="1" customWidth="1"/>
    <col min="3337" max="3337" width="8.85546875" style="57" customWidth="1"/>
    <col min="3338" max="3338" width="16" style="57" customWidth="1"/>
    <col min="3339" max="3339" width="16.85546875" style="57" customWidth="1"/>
    <col min="3340" max="3340" width="34.7109375" style="57" customWidth="1"/>
    <col min="3341" max="3341" width="19.140625" style="57" customWidth="1"/>
    <col min="3342" max="3342" width="16" style="57" customWidth="1"/>
    <col min="3343" max="3343" width="13.140625" style="57" customWidth="1"/>
    <col min="3344" max="3344" width="23.42578125" style="57" customWidth="1"/>
    <col min="3345" max="3345" width="14.7109375" style="57" customWidth="1"/>
    <col min="3346" max="3586" width="9.140625" style="57"/>
    <col min="3587" max="3587" width="5" style="57" customWidth="1"/>
    <col min="3588" max="3588" width="39.7109375" style="57" customWidth="1"/>
    <col min="3589" max="3589" width="13.42578125" style="57" customWidth="1"/>
    <col min="3590" max="3592" width="0" style="57" hidden="1" customWidth="1"/>
    <col min="3593" max="3593" width="8.85546875" style="57" customWidth="1"/>
    <col min="3594" max="3594" width="16" style="57" customWidth="1"/>
    <col min="3595" max="3595" width="16.85546875" style="57" customWidth="1"/>
    <col min="3596" max="3596" width="34.7109375" style="57" customWidth="1"/>
    <col min="3597" max="3597" width="19.140625" style="57" customWidth="1"/>
    <col min="3598" max="3598" width="16" style="57" customWidth="1"/>
    <col min="3599" max="3599" width="13.140625" style="57" customWidth="1"/>
    <col min="3600" max="3600" width="23.42578125" style="57" customWidth="1"/>
    <col min="3601" max="3601" width="14.7109375" style="57" customWidth="1"/>
    <col min="3602" max="3842" width="9.140625" style="57"/>
    <col min="3843" max="3843" width="5" style="57" customWidth="1"/>
    <col min="3844" max="3844" width="39.7109375" style="57" customWidth="1"/>
    <col min="3845" max="3845" width="13.42578125" style="57" customWidth="1"/>
    <col min="3846" max="3848" width="0" style="57" hidden="1" customWidth="1"/>
    <col min="3849" max="3849" width="8.85546875" style="57" customWidth="1"/>
    <col min="3850" max="3850" width="16" style="57" customWidth="1"/>
    <col min="3851" max="3851" width="16.85546875" style="57" customWidth="1"/>
    <col min="3852" max="3852" width="34.7109375" style="57" customWidth="1"/>
    <col min="3853" max="3853" width="19.140625" style="57" customWidth="1"/>
    <col min="3854" max="3854" width="16" style="57" customWidth="1"/>
    <col min="3855" max="3855" width="13.140625" style="57" customWidth="1"/>
    <col min="3856" max="3856" width="23.42578125" style="57" customWidth="1"/>
    <col min="3857" max="3857" width="14.7109375" style="57" customWidth="1"/>
    <col min="3858" max="4098" width="9.140625" style="57"/>
    <col min="4099" max="4099" width="5" style="57" customWidth="1"/>
    <col min="4100" max="4100" width="39.7109375" style="57" customWidth="1"/>
    <col min="4101" max="4101" width="13.42578125" style="57" customWidth="1"/>
    <col min="4102" max="4104" width="0" style="57" hidden="1" customWidth="1"/>
    <col min="4105" max="4105" width="8.85546875" style="57" customWidth="1"/>
    <col min="4106" max="4106" width="16" style="57" customWidth="1"/>
    <col min="4107" max="4107" width="16.85546875" style="57" customWidth="1"/>
    <col min="4108" max="4108" width="34.7109375" style="57" customWidth="1"/>
    <col min="4109" max="4109" width="19.140625" style="57" customWidth="1"/>
    <col min="4110" max="4110" width="16" style="57" customWidth="1"/>
    <col min="4111" max="4111" width="13.140625" style="57" customWidth="1"/>
    <col min="4112" max="4112" width="23.42578125" style="57" customWidth="1"/>
    <col min="4113" max="4113" width="14.7109375" style="57" customWidth="1"/>
    <col min="4114" max="4354" width="9.140625" style="57"/>
    <col min="4355" max="4355" width="5" style="57" customWidth="1"/>
    <col min="4356" max="4356" width="39.7109375" style="57" customWidth="1"/>
    <col min="4357" max="4357" width="13.42578125" style="57" customWidth="1"/>
    <col min="4358" max="4360" width="0" style="57" hidden="1" customWidth="1"/>
    <col min="4361" max="4361" width="8.85546875" style="57" customWidth="1"/>
    <col min="4362" max="4362" width="16" style="57" customWidth="1"/>
    <col min="4363" max="4363" width="16.85546875" style="57" customWidth="1"/>
    <col min="4364" max="4364" width="34.7109375" style="57" customWidth="1"/>
    <col min="4365" max="4365" width="19.140625" style="57" customWidth="1"/>
    <col min="4366" max="4366" width="16" style="57" customWidth="1"/>
    <col min="4367" max="4367" width="13.140625" style="57" customWidth="1"/>
    <col min="4368" max="4368" width="23.42578125" style="57" customWidth="1"/>
    <col min="4369" max="4369" width="14.7109375" style="57" customWidth="1"/>
    <col min="4370" max="4610" width="9.140625" style="57"/>
    <col min="4611" max="4611" width="5" style="57" customWidth="1"/>
    <col min="4612" max="4612" width="39.7109375" style="57" customWidth="1"/>
    <col min="4613" max="4613" width="13.42578125" style="57" customWidth="1"/>
    <col min="4614" max="4616" width="0" style="57" hidden="1" customWidth="1"/>
    <col min="4617" max="4617" width="8.85546875" style="57" customWidth="1"/>
    <col min="4618" max="4618" width="16" style="57" customWidth="1"/>
    <col min="4619" max="4619" width="16.85546875" style="57" customWidth="1"/>
    <col min="4620" max="4620" width="34.7109375" style="57" customWidth="1"/>
    <col min="4621" max="4621" width="19.140625" style="57" customWidth="1"/>
    <col min="4622" max="4622" width="16" style="57" customWidth="1"/>
    <col min="4623" max="4623" width="13.140625" style="57" customWidth="1"/>
    <col min="4624" max="4624" width="23.42578125" style="57" customWidth="1"/>
    <col min="4625" max="4625" width="14.7109375" style="57" customWidth="1"/>
    <col min="4626" max="4866" width="9.140625" style="57"/>
    <col min="4867" max="4867" width="5" style="57" customWidth="1"/>
    <col min="4868" max="4868" width="39.7109375" style="57" customWidth="1"/>
    <col min="4869" max="4869" width="13.42578125" style="57" customWidth="1"/>
    <col min="4870" max="4872" width="0" style="57" hidden="1" customWidth="1"/>
    <col min="4873" max="4873" width="8.85546875" style="57" customWidth="1"/>
    <col min="4874" max="4874" width="16" style="57" customWidth="1"/>
    <col min="4875" max="4875" width="16.85546875" style="57" customWidth="1"/>
    <col min="4876" max="4876" width="34.7109375" style="57" customWidth="1"/>
    <col min="4877" max="4877" width="19.140625" style="57" customWidth="1"/>
    <col min="4878" max="4878" width="16" style="57" customWidth="1"/>
    <col min="4879" max="4879" width="13.140625" style="57" customWidth="1"/>
    <col min="4880" max="4880" width="23.42578125" style="57" customWidth="1"/>
    <col min="4881" max="4881" width="14.7109375" style="57" customWidth="1"/>
    <col min="4882" max="5122" width="9.140625" style="57"/>
    <col min="5123" max="5123" width="5" style="57" customWidth="1"/>
    <col min="5124" max="5124" width="39.7109375" style="57" customWidth="1"/>
    <col min="5125" max="5125" width="13.42578125" style="57" customWidth="1"/>
    <col min="5126" max="5128" width="0" style="57" hidden="1" customWidth="1"/>
    <col min="5129" max="5129" width="8.85546875" style="57" customWidth="1"/>
    <col min="5130" max="5130" width="16" style="57" customWidth="1"/>
    <col min="5131" max="5131" width="16.85546875" style="57" customWidth="1"/>
    <col min="5132" max="5132" width="34.7109375" style="57" customWidth="1"/>
    <col min="5133" max="5133" width="19.140625" style="57" customWidth="1"/>
    <col min="5134" max="5134" width="16" style="57" customWidth="1"/>
    <col min="5135" max="5135" width="13.140625" style="57" customWidth="1"/>
    <col min="5136" max="5136" width="23.42578125" style="57" customWidth="1"/>
    <col min="5137" max="5137" width="14.7109375" style="57" customWidth="1"/>
    <col min="5138" max="5378" width="9.140625" style="57"/>
    <col min="5379" max="5379" width="5" style="57" customWidth="1"/>
    <col min="5380" max="5380" width="39.7109375" style="57" customWidth="1"/>
    <col min="5381" max="5381" width="13.42578125" style="57" customWidth="1"/>
    <col min="5382" max="5384" width="0" style="57" hidden="1" customWidth="1"/>
    <col min="5385" max="5385" width="8.85546875" style="57" customWidth="1"/>
    <col min="5386" max="5386" width="16" style="57" customWidth="1"/>
    <col min="5387" max="5387" width="16.85546875" style="57" customWidth="1"/>
    <col min="5388" max="5388" width="34.7109375" style="57" customWidth="1"/>
    <col min="5389" max="5389" width="19.140625" style="57" customWidth="1"/>
    <col min="5390" max="5390" width="16" style="57" customWidth="1"/>
    <col min="5391" max="5391" width="13.140625" style="57" customWidth="1"/>
    <col min="5392" max="5392" width="23.42578125" style="57" customWidth="1"/>
    <col min="5393" max="5393" width="14.7109375" style="57" customWidth="1"/>
    <col min="5394" max="5634" width="9.140625" style="57"/>
    <col min="5635" max="5635" width="5" style="57" customWidth="1"/>
    <col min="5636" max="5636" width="39.7109375" style="57" customWidth="1"/>
    <col min="5637" max="5637" width="13.42578125" style="57" customWidth="1"/>
    <col min="5638" max="5640" width="0" style="57" hidden="1" customWidth="1"/>
    <col min="5641" max="5641" width="8.85546875" style="57" customWidth="1"/>
    <col min="5642" max="5642" width="16" style="57" customWidth="1"/>
    <col min="5643" max="5643" width="16.85546875" style="57" customWidth="1"/>
    <col min="5644" max="5644" width="34.7109375" style="57" customWidth="1"/>
    <col min="5645" max="5645" width="19.140625" style="57" customWidth="1"/>
    <col min="5646" max="5646" width="16" style="57" customWidth="1"/>
    <col min="5647" max="5647" width="13.140625" style="57" customWidth="1"/>
    <col min="5648" max="5648" width="23.42578125" style="57" customWidth="1"/>
    <col min="5649" max="5649" width="14.7109375" style="57" customWidth="1"/>
    <col min="5650" max="5890" width="9.140625" style="57"/>
    <col min="5891" max="5891" width="5" style="57" customWidth="1"/>
    <col min="5892" max="5892" width="39.7109375" style="57" customWidth="1"/>
    <col min="5893" max="5893" width="13.42578125" style="57" customWidth="1"/>
    <col min="5894" max="5896" width="0" style="57" hidden="1" customWidth="1"/>
    <col min="5897" max="5897" width="8.85546875" style="57" customWidth="1"/>
    <col min="5898" max="5898" width="16" style="57" customWidth="1"/>
    <col min="5899" max="5899" width="16.85546875" style="57" customWidth="1"/>
    <col min="5900" max="5900" width="34.7109375" style="57" customWidth="1"/>
    <col min="5901" max="5901" width="19.140625" style="57" customWidth="1"/>
    <col min="5902" max="5902" width="16" style="57" customWidth="1"/>
    <col min="5903" max="5903" width="13.140625" style="57" customWidth="1"/>
    <col min="5904" max="5904" width="23.42578125" style="57" customWidth="1"/>
    <col min="5905" max="5905" width="14.7109375" style="57" customWidth="1"/>
    <col min="5906" max="6146" width="9.140625" style="57"/>
    <col min="6147" max="6147" width="5" style="57" customWidth="1"/>
    <col min="6148" max="6148" width="39.7109375" style="57" customWidth="1"/>
    <col min="6149" max="6149" width="13.42578125" style="57" customWidth="1"/>
    <col min="6150" max="6152" width="0" style="57" hidden="1" customWidth="1"/>
    <col min="6153" max="6153" width="8.85546875" style="57" customWidth="1"/>
    <col min="6154" max="6154" width="16" style="57" customWidth="1"/>
    <col min="6155" max="6155" width="16.85546875" style="57" customWidth="1"/>
    <col min="6156" max="6156" width="34.7109375" style="57" customWidth="1"/>
    <col min="6157" max="6157" width="19.140625" style="57" customWidth="1"/>
    <col min="6158" max="6158" width="16" style="57" customWidth="1"/>
    <col min="6159" max="6159" width="13.140625" style="57" customWidth="1"/>
    <col min="6160" max="6160" width="23.42578125" style="57" customWidth="1"/>
    <col min="6161" max="6161" width="14.7109375" style="57" customWidth="1"/>
    <col min="6162" max="6402" width="9.140625" style="57"/>
    <col min="6403" max="6403" width="5" style="57" customWidth="1"/>
    <col min="6404" max="6404" width="39.7109375" style="57" customWidth="1"/>
    <col min="6405" max="6405" width="13.42578125" style="57" customWidth="1"/>
    <col min="6406" max="6408" width="0" style="57" hidden="1" customWidth="1"/>
    <col min="6409" max="6409" width="8.85546875" style="57" customWidth="1"/>
    <col min="6410" max="6410" width="16" style="57" customWidth="1"/>
    <col min="6411" max="6411" width="16.85546875" style="57" customWidth="1"/>
    <col min="6412" max="6412" width="34.7109375" style="57" customWidth="1"/>
    <col min="6413" max="6413" width="19.140625" style="57" customWidth="1"/>
    <col min="6414" max="6414" width="16" style="57" customWidth="1"/>
    <col min="6415" max="6415" width="13.140625" style="57" customWidth="1"/>
    <col min="6416" max="6416" width="23.42578125" style="57" customWidth="1"/>
    <col min="6417" max="6417" width="14.7109375" style="57" customWidth="1"/>
    <col min="6418" max="6658" width="9.140625" style="57"/>
    <col min="6659" max="6659" width="5" style="57" customWidth="1"/>
    <col min="6660" max="6660" width="39.7109375" style="57" customWidth="1"/>
    <col min="6661" max="6661" width="13.42578125" style="57" customWidth="1"/>
    <col min="6662" max="6664" width="0" style="57" hidden="1" customWidth="1"/>
    <col min="6665" max="6665" width="8.85546875" style="57" customWidth="1"/>
    <col min="6666" max="6666" width="16" style="57" customWidth="1"/>
    <col min="6667" max="6667" width="16.85546875" style="57" customWidth="1"/>
    <col min="6668" max="6668" width="34.7109375" style="57" customWidth="1"/>
    <col min="6669" max="6669" width="19.140625" style="57" customWidth="1"/>
    <col min="6670" max="6670" width="16" style="57" customWidth="1"/>
    <col min="6671" max="6671" width="13.140625" style="57" customWidth="1"/>
    <col min="6672" max="6672" width="23.42578125" style="57" customWidth="1"/>
    <col min="6673" max="6673" width="14.7109375" style="57" customWidth="1"/>
    <col min="6674" max="6914" width="9.140625" style="57"/>
    <col min="6915" max="6915" width="5" style="57" customWidth="1"/>
    <col min="6916" max="6916" width="39.7109375" style="57" customWidth="1"/>
    <col min="6917" max="6917" width="13.42578125" style="57" customWidth="1"/>
    <col min="6918" max="6920" width="0" style="57" hidden="1" customWidth="1"/>
    <col min="6921" max="6921" width="8.85546875" style="57" customWidth="1"/>
    <col min="6922" max="6922" width="16" style="57" customWidth="1"/>
    <col min="6923" max="6923" width="16.85546875" style="57" customWidth="1"/>
    <col min="6924" max="6924" width="34.7109375" style="57" customWidth="1"/>
    <col min="6925" max="6925" width="19.140625" style="57" customWidth="1"/>
    <col min="6926" max="6926" width="16" style="57" customWidth="1"/>
    <col min="6927" max="6927" width="13.140625" style="57" customWidth="1"/>
    <col min="6928" max="6928" width="23.42578125" style="57" customWidth="1"/>
    <col min="6929" max="6929" width="14.7109375" style="57" customWidth="1"/>
    <col min="6930" max="7170" width="9.140625" style="57"/>
    <col min="7171" max="7171" width="5" style="57" customWidth="1"/>
    <col min="7172" max="7172" width="39.7109375" style="57" customWidth="1"/>
    <col min="7173" max="7173" width="13.42578125" style="57" customWidth="1"/>
    <col min="7174" max="7176" width="0" style="57" hidden="1" customWidth="1"/>
    <col min="7177" max="7177" width="8.85546875" style="57" customWidth="1"/>
    <col min="7178" max="7178" width="16" style="57" customWidth="1"/>
    <col min="7179" max="7179" width="16.85546875" style="57" customWidth="1"/>
    <col min="7180" max="7180" width="34.7109375" style="57" customWidth="1"/>
    <col min="7181" max="7181" width="19.140625" style="57" customWidth="1"/>
    <col min="7182" max="7182" width="16" style="57" customWidth="1"/>
    <col min="7183" max="7183" width="13.140625" style="57" customWidth="1"/>
    <col min="7184" max="7184" width="23.42578125" style="57" customWidth="1"/>
    <col min="7185" max="7185" width="14.7109375" style="57" customWidth="1"/>
    <col min="7186" max="7426" width="9.140625" style="57"/>
    <col min="7427" max="7427" width="5" style="57" customWidth="1"/>
    <col min="7428" max="7428" width="39.7109375" style="57" customWidth="1"/>
    <col min="7429" max="7429" width="13.42578125" style="57" customWidth="1"/>
    <col min="7430" max="7432" width="0" style="57" hidden="1" customWidth="1"/>
    <col min="7433" max="7433" width="8.85546875" style="57" customWidth="1"/>
    <col min="7434" max="7434" width="16" style="57" customWidth="1"/>
    <col min="7435" max="7435" width="16.85546875" style="57" customWidth="1"/>
    <col min="7436" max="7436" width="34.7109375" style="57" customWidth="1"/>
    <col min="7437" max="7437" width="19.140625" style="57" customWidth="1"/>
    <col min="7438" max="7438" width="16" style="57" customWidth="1"/>
    <col min="7439" max="7439" width="13.140625" style="57" customWidth="1"/>
    <col min="7440" max="7440" width="23.42578125" style="57" customWidth="1"/>
    <col min="7441" max="7441" width="14.7109375" style="57" customWidth="1"/>
    <col min="7442" max="7682" width="9.140625" style="57"/>
    <col min="7683" max="7683" width="5" style="57" customWidth="1"/>
    <col min="7684" max="7684" width="39.7109375" style="57" customWidth="1"/>
    <col min="7685" max="7685" width="13.42578125" style="57" customWidth="1"/>
    <col min="7686" max="7688" width="0" style="57" hidden="1" customWidth="1"/>
    <col min="7689" max="7689" width="8.85546875" style="57" customWidth="1"/>
    <col min="7690" max="7690" width="16" style="57" customWidth="1"/>
    <col min="7691" max="7691" width="16.85546875" style="57" customWidth="1"/>
    <col min="7692" max="7692" width="34.7109375" style="57" customWidth="1"/>
    <col min="7693" max="7693" width="19.140625" style="57" customWidth="1"/>
    <col min="7694" max="7694" width="16" style="57" customWidth="1"/>
    <col min="7695" max="7695" width="13.140625" style="57" customWidth="1"/>
    <col min="7696" max="7696" width="23.42578125" style="57" customWidth="1"/>
    <col min="7697" max="7697" width="14.7109375" style="57" customWidth="1"/>
    <col min="7698" max="7938" width="9.140625" style="57"/>
    <col min="7939" max="7939" width="5" style="57" customWidth="1"/>
    <col min="7940" max="7940" width="39.7109375" style="57" customWidth="1"/>
    <col min="7941" max="7941" width="13.42578125" style="57" customWidth="1"/>
    <col min="7942" max="7944" width="0" style="57" hidden="1" customWidth="1"/>
    <col min="7945" max="7945" width="8.85546875" style="57" customWidth="1"/>
    <col min="7946" max="7946" width="16" style="57" customWidth="1"/>
    <col min="7947" max="7947" width="16.85546875" style="57" customWidth="1"/>
    <col min="7948" max="7948" width="34.7109375" style="57" customWidth="1"/>
    <col min="7949" max="7949" width="19.140625" style="57" customWidth="1"/>
    <col min="7950" max="7950" width="16" style="57" customWidth="1"/>
    <col min="7951" max="7951" width="13.140625" style="57" customWidth="1"/>
    <col min="7952" max="7952" width="23.42578125" style="57" customWidth="1"/>
    <col min="7953" max="7953" width="14.7109375" style="57" customWidth="1"/>
    <col min="7954" max="8194" width="9.140625" style="57"/>
    <col min="8195" max="8195" width="5" style="57" customWidth="1"/>
    <col min="8196" max="8196" width="39.7109375" style="57" customWidth="1"/>
    <col min="8197" max="8197" width="13.42578125" style="57" customWidth="1"/>
    <col min="8198" max="8200" width="0" style="57" hidden="1" customWidth="1"/>
    <col min="8201" max="8201" width="8.85546875" style="57" customWidth="1"/>
    <col min="8202" max="8202" width="16" style="57" customWidth="1"/>
    <col min="8203" max="8203" width="16.85546875" style="57" customWidth="1"/>
    <col min="8204" max="8204" width="34.7109375" style="57" customWidth="1"/>
    <col min="8205" max="8205" width="19.140625" style="57" customWidth="1"/>
    <col min="8206" max="8206" width="16" style="57" customWidth="1"/>
    <col min="8207" max="8207" width="13.140625" style="57" customWidth="1"/>
    <col min="8208" max="8208" width="23.42578125" style="57" customWidth="1"/>
    <col min="8209" max="8209" width="14.7109375" style="57" customWidth="1"/>
    <col min="8210" max="8450" width="9.140625" style="57"/>
    <col min="8451" max="8451" width="5" style="57" customWidth="1"/>
    <col min="8452" max="8452" width="39.7109375" style="57" customWidth="1"/>
    <col min="8453" max="8453" width="13.42578125" style="57" customWidth="1"/>
    <col min="8454" max="8456" width="0" style="57" hidden="1" customWidth="1"/>
    <col min="8457" max="8457" width="8.85546875" style="57" customWidth="1"/>
    <col min="8458" max="8458" width="16" style="57" customWidth="1"/>
    <col min="8459" max="8459" width="16.85546875" style="57" customWidth="1"/>
    <col min="8460" max="8460" width="34.7109375" style="57" customWidth="1"/>
    <col min="8461" max="8461" width="19.140625" style="57" customWidth="1"/>
    <col min="8462" max="8462" width="16" style="57" customWidth="1"/>
    <col min="8463" max="8463" width="13.140625" style="57" customWidth="1"/>
    <col min="8464" max="8464" width="23.42578125" style="57" customWidth="1"/>
    <col min="8465" max="8465" width="14.7109375" style="57" customWidth="1"/>
    <col min="8466" max="8706" width="9.140625" style="57"/>
    <col min="8707" max="8707" width="5" style="57" customWidth="1"/>
    <col min="8708" max="8708" width="39.7109375" style="57" customWidth="1"/>
    <col min="8709" max="8709" width="13.42578125" style="57" customWidth="1"/>
    <col min="8710" max="8712" width="0" style="57" hidden="1" customWidth="1"/>
    <col min="8713" max="8713" width="8.85546875" style="57" customWidth="1"/>
    <col min="8714" max="8714" width="16" style="57" customWidth="1"/>
    <col min="8715" max="8715" width="16.85546875" style="57" customWidth="1"/>
    <col min="8716" max="8716" width="34.7109375" style="57" customWidth="1"/>
    <col min="8717" max="8717" width="19.140625" style="57" customWidth="1"/>
    <col min="8718" max="8718" width="16" style="57" customWidth="1"/>
    <col min="8719" max="8719" width="13.140625" style="57" customWidth="1"/>
    <col min="8720" max="8720" width="23.42578125" style="57" customWidth="1"/>
    <col min="8721" max="8721" width="14.7109375" style="57" customWidth="1"/>
    <col min="8722" max="8962" width="9.140625" style="57"/>
    <col min="8963" max="8963" width="5" style="57" customWidth="1"/>
    <col min="8964" max="8964" width="39.7109375" style="57" customWidth="1"/>
    <col min="8965" max="8965" width="13.42578125" style="57" customWidth="1"/>
    <col min="8966" max="8968" width="0" style="57" hidden="1" customWidth="1"/>
    <col min="8969" max="8969" width="8.85546875" style="57" customWidth="1"/>
    <col min="8970" max="8970" width="16" style="57" customWidth="1"/>
    <col min="8971" max="8971" width="16.85546875" style="57" customWidth="1"/>
    <col min="8972" max="8972" width="34.7109375" style="57" customWidth="1"/>
    <col min="8973" max="8973" width="19.140625" style="57" customWidth="1"/>
    <col min="8974" max="8974" width="16" style="57" customWidth="1"/>
    <col min="8975" max="8975" width="13.140625" style="57" customWidth="1"/>
    <col min="8976" max="8976" width="23.42578125" style="57" customWidth="1"/>
    <col min="8977" max="8977" width="14.7109375" style="57" customWidth="1"/>
    <col min="8978" max="9218" width="9.140625" style="57"/>
    <col min="9219" max="9219" width="5" style="57" customWidth="1"/>
    <col min="9220" max="9220" width="39.7109375" style="57" customWidth="1"/>
    <col min="9221" max="9221" width="13.42578125" style="57" customWidth="1"/>
    <col min="9222" max="9224" width="0" style="57" hidden="1" customWidth="1"/>
    <col min="9225" max="9225" width="8.85546875" style="57" customWidth="1"/>
    <col min="9226" max="9226" width="16" style="57" customWidth="1"/>
    <col min="9227" max="9227" width="16.85546875" style="57" customWidth="1"/>
    <col min="9228" max="9228" width="34.7109375" style="57" customWidth="1"/>
    <col min="9229" max="9229" width="19.140625" style="57" customWidth="1"/>
    <col min="9230" max="9230" width="16" style="57" customWidth="1"/>
    <col min="9231" max="9231" width="13.140625" style="57" customWidth="1"/>
    <col min="9232" max="9232" width="23.42578125" style="57" customWidth="1"/>
    <col min="9233" max="9233" width="14.7109375" style="57" customWidth="1"/>
    <col min="9234" max="9474" width="9.140625" style="57"/>
    <col min="9475" max="9475" width="5" style="57" customWidth="1"/>
    <col min="9476" max="9476" width="39.7109375" style="57" customWidth="1"/>
    <col min="9477" max="9477" width="13.42578125" style="57" customWidth="1"/>
    <col min="9478" max="9480" width="0" style="57" hidden="1" customWidth="1"/>
    <col min="9481" max="9481" width="8.85546875" style="57" customWidth="1"/>
    <col min="9482" max="9482" width="16" style="57" customWidth="1"/>
    <col min="9483" max="9483" width="16.85546875" style="57" customWidth="1"/>
    <col min="9484" max="9484" width="34.7109375" style="57" customWidth="1"/>
    <col min="9485" max="9485" width="19.140625" style="57" customWidth="1"/>
    <col min="9486" max="9486" width="16" style="57" customWidth="1"/>
    <col min="9487" max="9487" width="13.140625" style="57" customWidth="1"/>
    <col min="9488" max="9488" width="23.42578125" style="57" customWidth="1"/>
    <col min="9489" max="9489" width="14.7109375" style="57" customWidth="1"/>
    <col min="9490" max="9730" width="9.140625" style="57"/>
    <col min="9731" max="9731" width="5" style="57" customWidth="1"/>
    <col min="9732" max="9732" width="39.7109375" style="57" customWidth="1"/>
    <col min="9733" max="9733" width="13.42578125" style="57" customWidth="1"/>
    <col min="9734" max="9736" width="0" style="57" hidden="1" customWidth="1"/>
    <col min="9737" max="9737" width="8.85546875" style="57" customWidth="1"/>
    <col min="9738" max="9738" width="16" style="57" customWidth="1"/>
    <col min="9739" max="9739" width="16.85546875" style="57" customWidth="1"/>
    <col min="9740" max="9740" width="34.7109375" style="57" customWidth="1"/>
    <col min="9741" max="9741" width="19.140625" style="57" customWidth="1"/>
    <col min="9742" max="9742" width="16" style="57" customWidth="1"/>
    <col min="9743" max="9743" width="13.140625" style="57" customWidth="1"/>
    <col min="9744" max="9744" width="23.42578125" style="57" customWidth="1"/>
    <col min="9745" max="9745" width="14.7109375" style="57" customWidth="1"/>
    <col min="9746" max="9986" width="9.140625" style="57"/>
    <col min="9987" max="9987" width="5" style="57" customWidth="1"/>
    <col min="9988" max="9988" width="39.7109375" style="57" customWidth="1"/>
    <col min="9989" max="9989" width="13.42578125" style="57" customWidth="1"/>
    <col min="9990" max="9992" width="0" style="57" hidden="1" customWidth="1"/>
    <col min="9993" max="9993" width="8.85546875" style="57" customWidth="1"/>
    <col min="9994" max="9994" width="16" style="57" customWidth="1"/>
    <col min="9995" max="9995" width="16.85546875" style="57" customWidth="1"/>
    <col min="9996" max="9996" width="34.7109375" style="57" customWidth="1"/>
    <col min="9997" max="9997" width="19.140625" style="57" customWidth="1"/>
    <col min="9998" max="9998" width="16" style="57" customWidth="1"/>
    <col min="9999" max="9999" width="13.140625" style="57" customWidth="1"/>
    <col min="10000" max="10000" width="23.42578125" style="57" customWidth="1"/>
    <col min="10001" max="10001" width="14.7109375" style="57" customWidth="1"/>
    <col min="10002" max="10242" width="9.140625" style="57"/>
    <col min="10243" max="10243" width="5" style="57" customWidth="1"/>
    <col min="10244" max="10244" width="39.7109375" style="57" customWidth="1"/>
    <col min="10245" max="10245" width="13.42578125" style="57" customWidth="1"/>
    <col min="10246" max="10248" width="0" style="57" hidden="1" customWidth="1"/>
    <col min="10249" max="10249" width="8.85546875" style="57" customWidth="1"/>
    <col min="10250" max="10250" width="16" style="57" customWidth="1"/>
    <col min="10251" max="10251" width="16.85546875" style="57" customWidth="1"/>
    <col min="10252" max="10252" width="34.7109375" style="57" customWidth="1"/>
    <col min="10253" max="10253" width="19.140625" style="57" customWidth="1"/>
    <col min="10254" max="10254" width="16" style="57" customWidth="1"/>
    <col min="10255" max="10255" width="13.140625" style="57" customWidth="1"/>
    <col min="10256" max="10256" width="23.42578125" style="57" customWidth="1"/>
    <col min="10257" max="10257" width="14.7109375" style="57" customWidth="1"/>
    <col min="10258" max="10498" width="9.140625" style="57"/>
    <col min="10499" max="10499" width="5" style="57" customWidth="1"/>
    <col min="10500" max="10500" width="39.7109375" style="57" customWidth="1"/>
    <col min="10501" max="10501" width="13.42578125" style="57" customWidth="1"/>
    <col min="10502" max="10504" width="0" style="57" hidden="1" customWidth="1"/>
    <col min="10505" max="10505" width="8.85546875" style="57" customWidth="1"/>
    <col min="10506" max="10506" width="16" style="57" customWidth="1"/>
    <col min="10507" max="10507" width="16.85546875" style="57" customWidth="1"/>
    <col min="10508" max="10508" width="34.7109375" style="57" customWidth="1"/>
    <col min="10509" max="10509" width="19.140625" style="57" customWidth="1"/>
    <col min="10510" max="10510" width="16" style="57" customWidth="1"/>
    <col min="10511" max="10511" width="13.140625" style="57" customWidth="1"/>
    <col min="10512" max="10512" width="23.42578125" style="57" customWidth="1"/>
    <col min="10513" max="10513" width="14.7109375" style="57" customWidth="1"/>
    <col min="10514" max="10754" width="9.140625" style="57"/>
    <col min="10755" max="10755" width="5" style="57" customWidth="1"/>
    <col min="10756" max="10756" width="39.7109375" style="57" customWidth="1"/>
    <col min="10757" max="10757" width="13.42578125" style="57" customWidth="1"/>
    <col min="10758" max="10760" width="0" style="57" hidden="1" customWidth="1"/>
    <col min="10761" max="10761" width="8.85546875" style="57" customWidth="1"/>
    <col min="10762" max="10762" width="16" style="57" customWidth="1"/>
    <col min="10763" max="10763" width="16.85546875" style="57" customWidth="1"/>
    <col min="10764" max="10764" width="34.7109375" style="57" customWidth="1"/>
    <col min="10765" max="10765" width="19.140625" style="57" customWidth="1"/>
    <col min="10766" max="10766" width="16" style="57" customWidth="1"/>
    <col min="10767" max="10767" width="13.140625" style="57" customWidth="1"/>
    <col min="10768" max="10768" width="23.42578125" style="57" customWidth="1"/>
    <col min="10769" max="10769" width="14.7109375" style="57" customWidth="1"/>
    <col min="10770" max="11010" width="9.140625" style="57"/>
    <col min="11011" max="11011" width="5" style="57" customWidth="1"/>
    <col min="11012" max="11012" width="39.7109375" style="57" customWidth="1"/>
    <col min="11013" max="11013" width="13.42578125" style="57" customWidth="1"/>
    <col min="11014" max="11016" width="0" style="57" hidden="1" customWidth="1"/>
    <col min="11017" max="11017" width="8.85546875" style="57" customWidth="1"/>
    <col min="11018" max="11018" width="16" style="57" customWidth="1"/>
    <col min="11019" max="11019" width="16.85546875" style="57" customWidth="1"/>
    <col min="11020" max="11020" width="34.7109375" style="57" customWidth="1"/>
    <col min="11021" max="11021" width="19.140625" style="57" customWidth="1"/>
    <col min="11022" max="11022" width="16" style="57" customWidth="1"/>
    <col min="11023" max="11023" width="13.140625" style="57" customWidth="1"/>
    <col min="11024" max="11024" width="23.42578125" style="57" customWidth="1"/>
    <col min="11025" max="11025" width="14.7109375" style="57" customWidth="1"/>
    <col min="11026" max="11266" width="9.140625" style="57"/>
    <col min="11267" max="11267" width="5" style="57" customWidth="1"/>
    <col min="11268" max="11268" width="39.7109375" style="57" customWidth="1"/>
    <col min="11269" max="11269" width="13.42578125" style="57" customWidth="1"/>
    <col min="11270" max="11272" width="0" style="57" hidden="1" customWidth="1"/>
    <col min="11273" max="11273" width="8.85546875" style="57" customWidth="1"/>
    <col min="11274" max="11274" width="16" style="57" customWidth="1"/>
    <col min="11275" max="11275" width="16.85546875" style="57" customWidth="1"/>
    <col min="11276" max="11276" width="34.7109375" style="57" customWidth="1"/>
    <col min="11277" max="11277" width="19.140625" style="57" customWidth="1"/>
    <col min="11278" max="11278" width="16" style="57" customWidth="1"/>
    <col min="11279" max="11279" width="13.140625" style="57" customWidth="1"/>
    <col min="11280" max="11280" width="23.42578125" style="57" customWidth="1"/>
    <col min="11281" max="11281" width="14.7109375" style="57" customWidth="1"/>
    <col min="11282" max="11522" width="9.140625" style="57"/>
    <col min="11523" max="11523" width="5" style="57" customWidth="1"/>
    <col min="11524" max="11524" width="39.7109375" style="57" customWidth="1"/>
    <col min="11525" max="11525" width="13.42578125" style="57" customWidth="1"/>
    <col min="11526" max="11528" width="0" style="57" hidden="1" customWidth="1"/>
    <col min="11529" max="11529" width="8.85546875" style="57" customWidth="1"/>
    <col min="11530" max="11530" width="16" style="57" customWidth="1"/>
    <col min="11531" max="11531" width="16.85546875" style="57" customWidth="1"/>
    <col min="11532" max="11532" width="34.7109375" style="57" customWidth="1"/>
    <col min="11533" max="11533" width="19.140625" style="57" customWidth="1"/>
    <col min="11534" max="11534" width="16" style="57" customWidth="1"/>
    <col min="11535" max="11535" width="13.140625" style="57" customWidth="1"/>
    <col min="11536" max="11536" width="23.42578125" style="57" customWidth="1"/>
    <col min="11537" max="11537" width="14.7109375" style="57" customWidth="1"/>
    <col min="11538" max="11778" width="9.140625" style="57"/>
    <col min="11779" max="11779" width="5" style="57" customWidth="1"/>
    <col min="11780" max="11780" width="39.7109375" style="57" customWidth="1"/>
    <col min="11781" max="11781" width="13.42578125" style="57" customWidth="1"/>
    <col min="11782" max="11784" width="0" style="57" hidden="1" customWidth="1"/>
    <col min="11785" max="11785" width="8.85546875" style="57" customWidth="1"/>
    <col min="11786" max="11786" width="16" style="57" customWidth="1"/>
    <col min="11787" max="11787" width="16.85546875" style="57" customWidth="1"/>
    <col min="11788" max="11788" width="34.7109375" style="57" customWidth="1"/>
    <col min="11789" max="11789" width="19.140625" style="57" customWidth="1"/>
    <col min="11790" max="11790" width="16" style="57" customWidth="1"/>
    <col min="11791" max="11791" width="13.140625" style="57" customWidth="1"/>
    <col min="11792" max="11792" width="23.42578125" style="57" customWidth="1"/>
    <col min="11793" max="11793" width="14.7109375" style="57" customWidth="1"/>
    <col min="11794" max="12034" width="9.140625" style="57"/>
    <col min="12035" max="12035" width="5" style="57" customWidth="1"/>
    <col min="12036" max="12036" width="39.7109375" style="57" customWidth="1"/>
    <col min="12037" max="12037" width="13.42578125" style="57" customWidth="1"/>
    <col min="12038" max="12040" width="0" style="57" hidden="1" customWidth="1"/>
    <col min="12041" max="12041" width="8.85546875" style="57" customWidth="1"/>
    <col min="12042" max="12042" width="16" style="57" customWidth="1"/>
    <col min="12043" max="12043" width="16.85546875" style="57" customWidth="1"/>
    <col min="12044" max="12044" width="34.7109375" style="57" customWidth="1"/>
    <col min="12045" max="12045" width="19.140625" style="57" customWidth="1"/>
    <col min="12046" max="12046" width="16" style="57" customWidth="1"/>
    <col min="12047" max="12047" width="13.140625" style="57" customWidth="1"/>
    <col min="12048" max="12048" width="23.42578125" style="57" customWidth="1"/>
    <col min="12049" max="12049" width="14.7109375" style="57" customWidth="1"/>
    <col min="12050" max="12290" width="9.140625" style="57"/>
    <col min="12291" max="12291" width="5" style="57" customWidth="1"/>
    <col min="12292" max="12292" width="39.7109375" style="57" customWidth="1"/>
    <col min="12293" max="12293" width="13.42578125" style="57" customWidth="1"/>
    <col min="12294" max="12296" width="0" style="57" hidden="1" customWidth="1"/>
    <col min="12297" max="12297" width="8.85546875" style="57" customWidth="1"/>
    <col min="12298" max="12298" width="16" style="57" customWidth="1"/>
    <col min="12299" max="12299" width="16.85546875" style="57" customWidth="1"/>
    <col min="12300" max="12300" width="34.7109375" style="57" customWidth="1"/>
    <col min="12301" max="12301" width="19.140625" style="57" customWidth="1"/>
    <col min="12302" max="12302" width="16" style="57" customWidth="1"/>
    <col min="12303" max="12303" width="13.140625" style="57" customWidth="1"/>
    <col min="12304" max="12304" width="23.42578125" style="57" customWidth="1"/>
    <col min="12305" max="12305" width="14.7109375" style="57" customWidth="1"/>
    <col min="12306" max="12546" width="9.140625" style="57"/>
    <col min="12547" max="12547" width="5" style="57" customWidth="1"/>
    <col min="12548" max="12548" width="39.7109375" style="57" customWidth="1"/>
    <col min="12549" max="12549" width="13.42578125" style="57" customWidth="1"/>
    <col min="12550" max="12552" width="0" style="57" hidden="1" customWidth="1"/>
    <col min="12553" max="12553" width="8.85546875" style="57" customWidth="1"/>
    <col min="12554" max="12554" width="16" style="57" customWidth="1"/>
    <col min="12555" max="12555" width="16.85546875" style="57" customWidth="1"/>
    <col min="12556" max="12556" width="34.7109375" style="57" customWidth="1"/>
    <col min="12557" max="12557" width="19.140625" style="57" customWidth="1"/>
    <col min="12558" max="12558" width="16" style="57" customWidth="1"/>
    <col min="12559" max="12559" width="13.140625" style="57" customWidth="1"/>
    <col min="12560" max="12560" width="23.42578125" style="57" customWidth="1"/>
    <col min="12561" max="12561" width="14.7109375" style="57" customWidth="1"/>
    <col min="12562" max="12802" width="9.140625" style="57"/>
    <col min="12803" max="12803" width="5" style="57" customWidth="1"/>
    <col min="12804" max="12804" width="39.7109375" style="57" customWidth="1"/>
    <col min="12805" max="12805" width="13.42578125" style="57" customWidth="1"/>
    <col min="12806" max="12808" width="0" style="57" hidden="1" customWidth="1"/>
    <col min="12809" max="12809" width="8.85546875" style="57" customWidth="1"/>
    <col min="12810" max="12810" width="16" style="57" customWidth="1"/>
    <col min="12811" max="12811" width="16.85546875" style="57" customWidth="1"/>
    <col min="12812" max="12812" width="34.7109375" style="57" customWidth="1"/>
    <col min="12813" max="12813" width="19.140625" style="57" customWidth="1"/>
    <col min="12814" max="12814" width="16" style="57" customWidth="1"/>
    <col min="12815" max="12815" width="13.140625" style="57" customWidth="1"/>
    <col min="12816" max="12816" width="23.42578125" style="57" customWidth="1"/>
    <col min="12817" max="12817" width="14.7109375" style="57" customWidth="1"/>
    <col min="12818" max="13058" width="9.140625" style="57"/>
    <col min="13059" max="13059" width="5" style="57" customWidth="1"/>
    <col min="13060" max="13060" width="39.7109375" style="57" customWidth="1"/>
    <col min="13061" max="13061" width="13.42578125" style="57" customWidth="1"/>
    <col min="13062" max="13064" width="0" style="57" hidden="1" customWidth="1"/>
    <col min="13065" max="13065" width="8.85546875" style="57" customWidth="1"/>
    <col min="13066" max="13066" width="16" style="57" customWidth="1"/>
    <col min="13067" max="13067" width="16.85546875" style="57" customWidth="1"/>
    <col min="13068" max="13068" width="34.7109375" style="57" customWidth="1"/>
    <col min="13069" max="13069" width="19.140625" style="57" customWidth="1"/>
    <col min="13070" max="13070" width="16" style="57" customWidth="1"/>
    <col min="13071" max="13071" width="13.140625" style="57" customWidth="1"/>
    <col min="13072" max="13072" width="23.42578125" style="57" customWidth="1"/>
    <col min="13073" max="13073" width="14.7109375" style="57" customWidth="1"/>
    <col min="13074" max="13314" width="9.140625" style="57"/>
    <col min="13315" max="13315" width="5" style="57" customWidth="1"/>
    <col min="13316" max="13316" width="39.7109375" style="57" customWidth="1"/>
    <col min="13317" max="13317" width="13.42578125" style="57" customWidth="1"/>
    <col min="13318" max="13320" width="0" style="57" hidden="1" customWidth="1"/>
    <col min="13321" max="13321" width="8.85546875" style="57" customWidth="1"/>
    <col min="13322" max="13322" width="16" style="57" customWidth="1"/>
    <col min="13323" max="13323" width="16.85546875" style="57" customWidth="1"/>
    <col min="13324" max="13324" width="34.7109375" style="57" customWidth="1"/>
    <col min="13325" max="13325" width="19.140625" style="57" customWidth="1"/>
    <col min="13326" max="13326" width="16" style="57" customWidth="1"/>
    <col min="13327" max="13327" width="13.140625" style="57" customWidth="1"/>
    <col min="13328" max="13328" width="23.42578125" style="57" customWidth="1"/>
    <col min="13329" max="13329" width="14.7109375" style="57" customWidth="1"/>
    <col min="13330" max="13570" width="9.140625" style="57"/>
    <col min="13571" max="13571" width="5" style="57" customWidth="1"/>
    <col min="13572" max="13572" width="39.7109375" style="57" customWidth="1"/>
    <col min="13573" max="13573" width="13.42578125" style="57" customWidth="1"/>
    <col min="13574" max="13576" width="0" style="57" hidden="1" customWidth="1"/>
    <col min="13577" max="13577" width="8.85546875" style="57" customWidth="1"/>
    <col min="13578" max="13578" width="16" style="57" customWidth="1"/>
    <col min="13579" max="13579" width="16.85546875" style="57" customWidth="1"/>
    <col min="13580" max="13580" width="34.7109375" style="57" customWidth="1"/>
    <col min="13581" max="13581" width="19.140625" style="57" customWidth="1"/>
    <col min="13582" max="13582" width="16" style="57" customWidth="1"/>
    <col min="13583" max="13583" width="13.140625" style="57" customWidth="1"/>
    <col min="13584" max="13584" width="23.42578125" style="57" customWidth="1"/>
    <col min="13585" max="13585" width="14.7109375" style="57" customWidth="1"/>
    <col min="13586" max="13826" width="9.140625" style="57"/>
    <col min="13827" max="13827" width="5" style="57" customWidth="1"/>
    <col min="13828" max="13828" width="39.7109375" style="57" customWidth="1"/>
    <col min="13829" max="13829" width="13.42578125" style="57" customWidth="1"/>
    <col min="13830" max="13832" width="0" style="57" hidden="1" customWidth="1"/>
    <col min="13833" max="13833" width="8.85546875" style="57" customWidth="1"/>
    <col min="13834" max="13834" width="16" style="57" customWidth="1"/>
    <col min="13835" max="13835" width="16.85546875" style="57" customWidth="1"/>
    <col min="13836" max="13836" width="34.7109375" style="57" customWidth="1"/>
    <col min="13837" max="13837" width="19.140625" style="57" customWidth="1"/>
    <col min="13838" max="13838" width="16" style="57" customWidth="1"/>
    <col min="13839" max="13839" width="13.140625" style="57" customWidth="1"/>
    <col min="13840" max="13840" width="23.42578125" style="57" customWidth="1"/>
    <col min="13841" max="13841" width="14.7109375" style="57" customWidth="1"/>
    <col min="13842" max="14082" width="9.140625" style="57"/>
    <col min="14083" max="14083" width="5" style="57" customWidth="1"/>
    <col min="14084" max="14084" width="39.7109375" style="57" customWidth="1"/>
    <col min="14085" max="14085" width="13.42578125" style="57" customWidth="1"/>
    <col min="14086" max="14088" width="0" style="57" hidden="1" customWidth="1"/>
    <col min="14089" max="14089" width="8.85546875" style="57" customWidth="1"/>
    <col min="14090" max="14090" width="16" style="57" customWidth="1"/>
    <col min="14091" max="14091" width="16.85546875" style="57" customWidth="1"/>
    <col min="14092" max="14092" width="34.7109375" style="57" customWidth="1"/>
    <col min="14093" max="14093" width="19.140625" style="57" customWidth="1"/>
    <col min="14094" max="14094" width="16" style="57" customWidth="1"/>
    <col min="14095" max="14095" width="13.140625" style="57" customWidth="1"/>
    <col min="14096" max="14096" width="23.42578125" style="57" customWidth="1"/>
    <col min="14097" max="14097" width="14.7109375" style="57" customWidth="1"/>
    <col min="14098" max="14338" width="9.140625" style="57"/>
    <col min="14339" max="14339" width="5" style="57" customWidth="1"/>
    <col min="14340" max="14340" width="39.7109375" style="57" customWidth="1"/>
    <col min="14341" max="14341" width="13.42578125" style="57" customWidth="1"/>
    <col min="14342" max="14344" width="0" style="57" hidden="1" customWidth="1"/>
    <col min="14345" max="14345" width="8.85546875" style="57" customWidth="1"/>
    <col min="14346" max="14346" width="16" style="57" customWidth="1"/>
    <col min="14347" max="14347" width="16.85546875" style="57" customWidth="1"/>
    <col min="14348" max="14348" width="34.7109375" style="57" customWidth="1"/>
    <col min="14349" max="14349" width="19.140625" style="57" customWidth="1"/>
    <col min="14350" max="14350" width="16" style="57" customWidth="1"/>
    <col min="14351" max="14351" width="13.140625" style="57" customWidth="1"/>
    <col min="14352" max="14352" width="23.42578125" style="57" customWidth="1"/>
    <col min="14353" max="14353" width="14.7109375" style="57" customWidth="1"/>
    <col min="14354" max="14594" width="9.140625" style="57"/>
    <col min="14595" max="14595" width="5" style="57" customWidth="1"/>
    <col min="14596" max="14596" width="39.7109375" style="57" customWidth="1"/>
    <col min="14597" max="14597" width="13.42578125" style="57" customWidth="1"/>
    <col min="14598" max="14600" width="0" style="57" hidden="1" customWidth="1"/>
    <col min="14601" max="14601" width="8.85546875" style="57" customWidth="1"/>
    <col min="14602" max="14602" width="16" style="57" customWidth="1"/>
    <col min="14603" max="14603" width="16.85546875" style="57" customWidth="1"/>
    <col min="14604" max="14604" width="34.7109375" style="57" customWidth="1"/>
    <col min="14605" max="14605" width="19.140625" style="57" customWidth="1"/>
    <col min="14606" max="14606" width="16" style="57" customWidth="1"/>
    <col min="14607" max="14607" width="13.140625" style="57" customWidth="1"/>
    <col min="14608" max="14608" width="23.42578125" style="57" customWidth="1"/>
    <col min="14609" max="14609" width="14.7109375" style="57" customWidth="1"/>
    <col min="14610" max="14850" width="9.140625" style="57"/>
    <col min="14851" max="14851" width="5" style="57" customWidth="1"/>
    <col min="14852" max="14852" width="39.7109375" style="57" customWidth="1"/>
    <col min="14853" max="14853" width="13.42578125" style="57" customWidth="1"/>
    <col min="14854" max="14856" width="0" style="57" hidden="1" customWidth="1"/>
    <col min="14857" max="14857" width="8.85546875" style="57" customWidth="1"/>
    <col min="14858" max="14858" width="16" style="57" customWidth="1"/>
    <col min="14859" max="14859" width="16.85546875" style="57" customWidth="1"/>
    <col min="14860" max="14860" width="34.7109375" style="57" customWidth="1"/>
    <col min="14861" max="14861" width="19.140625" style="57" customWidth="1"/>
    <col min="14862" max="14862" width="16" style="57" customWidth="1"/>
    <col min="14863" max="14863" width="13.140625" style="57" customWidth="1"/>
    <col min="14864" max="14864" width="23.42578125" style="57" customWidth="1"/>
    <col min="14865" max="14865" width="14.7109375" style="57" customWidth="1"/>
    <col min="14866" max="15106" width="9.140625" style="57"/>
    <col min="15107" max="15107" width="5" style="57" customWidth="1"/>
    <col min="15108" max="15108" width="39.7109375" style="57" customWidth="1"/>
    <col min="15109" max="15109" width="13.42578125" style="57" customWidth="1"/>
    <col min="15110" max="15112" width="0" style="57" hidden="1" customWidth="1"/>
    <col min="15113" max="15113" width="8.85546875" style="57" customWidth="1"/>
    <col min="15114" max="15114" width="16" style="57" customWidth="1"/>
    <col min="15115" max="15115" width="16.85546875" style="57" customWidth="1"/>
    <col min="15116" max="15116" width="34.7109375" style="57" customWidth="1"/>
    <col min="15117" max="15117" width="19.140625" style="57" customWidth="1"/>
    <col min="15118" max="15118" width="16" style="57" customWidth="1"/>
    <col min="15119" max="15119" width="13.140625" style="57" customWidth="1"/>
    <col min="15120" max="15120" width="23.42578125" style="57" customWidth="1"/>
    <col min="15121" max="15121" width="14.7109375" style="57" customWidth="1"/>
    <col min="15122" max="15362" width="9.140625" style="57"/>
    <col min="15363" max="15363" width="5" style="57" customWidth="1"/>
    <col min="15364" max="15364" width="39.7109375" style="57" customWidth="1"/>
    <col min="15365" max="15365" width="13.42578125" style="57" customWidth="1"/>
    <col min="15366" max="15368" width="0" style="57" hidden="1" customWidth="1"/>
    <col min="15369" max="15369" width="8.85546875" style="57" customWidth="1"/>
    <col min="15370" max="15370" width="16" style="57" customWidth="1"/>
    <col min="15371" max="15371" width="16.85546875" style="57" customWidth="1"/>
    <col min="15372" max="15372" width="34.7109375" style="57" customWidth="1"/>
    <col min="15373" max="15373" width="19.140625" style="57" customWidth="1"/>
    <col min="15374" max="15374" width="16" style="57" customWidth="1"/>
    <col min="15375" max="15375" width="13.140625" style="57" customWidth="1"/>
    <col min="15376" max="15376" width="23.42578125" style="57" customWidth="1"/>
    <col min="15377" max="15377" width="14.7109375" style="57" customWidth="1"/>
    <col min="15378" max="15618" width="9.140625" style="57"/>
    <col min="15619" max="15619" width="5" style="57" customWidth="1"/>
    <col min="15620" max="15620" width="39.7109375" style="57" customWidth="1"/>
    <col min="15621" max="15621" width="13.42578125" style="57" customWidth="1"/>
    <col min="15622" max="15624" width="0" style="57" hidden="1" customWidth="1"/>
    <col min="15625" max="15625" width="8.85546875" style="57" customWidth="1"/>
    <col min="15626" max="15626" width="16" style="57" customWidth="1"/>
    <col min="15627" max="15627" width="16.85546875" style="57" customWidth="1"/>
    <col min="15628" max="15628" width="34.7109375" style="57" customWidth="1"/>
    <col min="15629" max="15629" width="19.140625" style="57" customWidth="1"/>
    <col min="15630" max="15630" width="16" style="57" customWidth="1"/>
    <col min="15631" max="15631" width="13.140625" style="57" customWidth="1"/>
    <col min="15632" max="15632" width="23.42578125" style="57" customWidth="1"/>
    <col min="15633" max="15633" width="14.7109375" style="57" customWidth="1"/>
    <col min="15634" max="15874" width="9.140625" style="57"/>
    <col min="15875" max="15875" width="5" style="57" customWidth="1"/>
    <col min="15876" max="15876" width="39.7109375" style="57" customWidth="1"/>
    <col min="15877" max="15877" width="13.42578125" style="57" customWidth="1"/>
    <col min="15878" max="15880" width="0" style="57" hidden="1" customWidth="1"/>
    <col min="15881" max="15881" width="8.85546875" style="57" customWidth="1"/>
    <col min="15882" max="15882" width="16" style="57" customWidth="1"/>
    <col min="15883" max="15883" width="16.85546875" style="57" customWidth="1"/>
    <col min="15884" max="15884" width="34.7109375" style="57" customWidth="1"/>
    <col min="15885" max="15885" width="19.140625" style="57" customWidth="1"/>
    <col min="15886" max="15886" width="16" style="57" customWidth="1"/>
    <col min="15887" max="15887" width="13.140625" style="57" customWidth="1"/>
    <col min="15888" max="15888" width="23.42578125" style="57" customWidth="1"/>
    <col min="15889" max="15889" width="14.7109375" style="57" customWidth="1"/>
    <col min="15890" max="16130" width="9.140625" style="57"/>
    <col min="16131" max="16131" width="5" style="57" customWidth="1"/>
    <col min="16132" max="16132" width="39.7109375" style="57" customWidth="1"/>
    <col min="16133" max="16133" width="13.42578125" style="57" customWidth="1"/>
    <col min="16134" max="16136" width="0" style="57" hidden="1" customWidth="1"/>
    <col min="16137" max="16137" width="8.85546875" style="57" customWidth="1"/>
    <col min="16138" max="16138" width="16" style="57" customWidth="1"/>
    <col min="16139" max="16139" width="16.85546875" style="57" customWidth="1"/>
    <col min="16140" max="16140" width="34.7109375" style="57" customWidth="1"/>
    <col min="16141" max="16141" width="19.140625" style="57" customWidth="1"/>
    <col min="16142" max="16142" width="16" style="57" customWidth="1"/>
    <col min="16143" max="16143" width="13.140625" style="57" customWidth="1"/>
    <col min="16144" max="16144" width="23.42578125" style="57" customWidth="1"/>
    <col min="16145" max="16145" width="14.7109375" style="57" customWidth="1"/>
    <col min="16146" max="16384" width="9.140625" style="57"/>
  </cols>
  <sheetData>
    <row r="1" spans="1:17" ht="18.75" x14ac:dyDescent="0.25">
      <c r="A1" s="704" t="s">
        <v>501</v>
      </c>
      <c r="B1" s="704"/>
      <c r="C1" s="704"/>
      <c r="D1" s="704"/>
      <c r="E1" s="704"/>
      <c r="F1" s="704"/>
      <c r="G1" s="704"/>
      <c r="H1" s="704"/>
      <c r="I1" s="704"/>
      <c r="J1" s="704"/>
      <c r="K1" s="704"/>
      <c r="L1" s="704"/>
      <c r="M1" s="704"/>
      <c r="N1" s="704"/>
      <c r="O1" s="704"/>
    </row>
    <row r="2" spans="1:17" ht="18.75" x14ac:dyDescent="0.25">
      <c r="A2" s="700" t="str">
        <f>'KHV đo đạc cấp GCN'!A3:F3</f>
        <v>(Kèm theo Kế hoạch số ……./KH-UBND ngày ……./……/2023 của UBND huyện Tân Yên)</v>
      </c>
      <c r="B2" s="700"/>
      <c r="C2" s="700"/>
      <c r="D2" s="700"/>
      <c r="E2" s="700"/>
      <c r="F2" s="700"/>
      <c r="G2" s="700"/>
      <c r="H2" s="700"/>
      <c r="I2" s="700"/>
      <c r="J2" s="700"/>
      <c r="K2" s="700"/>
      <c r="L2" s="700"/>
      <c r="M2" s="700"/>
      <c r="N2" s="700"/>
      <c r="O2" s="700"/>
    </row>
    <row r="3" spans="1:17" ht="16.5" x14ac:dyDescent="0.25">
      <c r="A3" s="706" t="s">
        <v>502</v>
      </c>
      <c r="B3" s="706"/>
      <c r="C3" s="706"/>
      <c r="D3" s="706"/>
      <c r="E3" s="706"/>
      <c r="F3" s="706"/>
      <c r="G3" s="706"/>
      <c r="H3" s="706"/>
      <c r="I3" s="706"/>
      <c r="J3" s="706"/>
      <c r="K3" s="706"/>
      <c r="L3" s="706"/>
      <c r="M3" s="706"/>
      <c r="N3" s="706"/>
      <c r="O3" s="706"/>
    </row>
    <row r="4" spans="1:17" ht="70.5" customHeight="1" x14ac:dyDescent="0.25">
      <c r="A4" s="707" t="s">
        <v>35</v>
      </c>
      <c r="B4" s="707" t="s">
        <v>37</v>
      </c>
      <c r="C4" s="707" t="s">
        <v>503</v>
      </c>
      <c r="D4" s="707" t="s">
        <v>284</v>
      </c>
      <c r="E4" s="707" t="s">
        <v>504</v>
      </c>
      <c r="F4" s="500" t="s">
        <v>234</v>
      </c>
      <c r="G4" s="710" t="s">
        <v>235</v>
      </c>
      <c r="H4" s="711"/>
      <c r="I4" s="707" t="s">
        <v>123</v>
      </c>
      <c r="J4" s="710" t="s">
        <v>505</v>
      </c>
      <c r="K4" s="711"/>
      <c r="L4" s="707" t="s">
        <v>30</v>
      </c>
      <c r="M4" s="712" t="s">
        <v>236</v>
      </c>
      <c r="N4" s="712"/>
      <c r="O4" s="712"/>
    </row>
    <row r="5" spans="1:17" ht="21.75" customHeight="1" x14ac:dyDescent="0.25">
      <c r="A5" s="708"/>
      <c r="B5" s="708"/>
      <c r="C5" s="708"/>
      <c r="D5" s="708"/>
      <c r="E5" s="708"/>
      <c r="F5" s="500"/>
      <c r="G5" s="498"/>
      <c r="H5" s="499"/>
      <c r="I5" s="708"/>
      <c r="J5" s="707" t="s">
        <v>506</v>
      </c>
      <c r="K5" s="707" t="s">
        <v>124</v>
      </c>
      <c r="L5" s="708"/>
      <c r="M5" s="712" t="s">
        <v>352</v>
      </c>
      <c r="N5" s="712"/>
      <c r="O5" s="712" t="s">
        <v>353</v>
      </c>
    </row>
    <row r="6" spans="1:17" ht="49.5" x14ac:dyDescent="0.25">
      <c r="A6" s="709"/>
      <c r="B6" s="709"/>
      <c r="C6" s="709"/>
      <c r="D6" s="709"/>
      <c r="E6" s="709"/>
      <c r="F6" s="500"/>
      <c r="G6" s="498"/>
      <c r="H6" s="499"/>
      <c r="I6" s="709"/>
      <c r="J6" s="709"/>
      <c r="K6" s="709"/>
      <c r="L6" s="709"/>
      <c r="M6" s="500" t="s">
        <v>507</v>
      </c>
      <c r="N6" s="500" t="s">
        <v>237</v>
      </c>
      <c r="O6" s="712"/>
      <c r="Q6" s="57">
        <f>1611+50</f>
        <v>1661</v>
      </c>
    </row>
    <row r="7" spans="1:17" ht="16.5" x14ac:dyDescent="0.25">
      <c r="A7" s="500"/>
      <c r="B7" s="503" t="s">
        <v>41</v>
      </c>
      <c r="C7" s="500"/>
      <c r="D7" s="500"/>
      <c r="E7" s="381">
        <f t="shared" ref="E7:H7" si="0">SUM(E9:E77)</f>
        <v>81.840000000000018</v>
      </c>
      <c r="F7" s="381">
        <f t="shared" si="0"/>
        <v>0</v>
      </c>
      <c r="G7" s="381">
        <f t="shared" si="0"/>
        <v>0</v>
      </c>
      <c r="H7" s="381">
        <f t="shared" si="0"/>
        <v>0</v>
      </c>
      <c r="I7" s="381">
        <f>I8+I78</f>
        <v>3220</v>
      </c>
      <c r="J7" s="381">
        <f t="shared" ref="J7:O7" si="1">J8+J78</f>
        <v>2058</v>
      </c>
      <c r="K7" s="381"/>
      <c r="L7" s="381"/>
      <c r="M7" s="381">
        <f t="shared" si="1"/>
        <v>950</v>
      </c>
      <c r="N7" s="381">
        <f t="shared" si="1"/>
        <v>640</v>
      </c>
      <c r="O7" s="381">
        <f t="shared" si="1"/>
        <v>1106</v>
      </c>
    </row>
    <row r="8" spans="1:17" ht="16.5" x14ac:dyDescent="0.25">
      <c r="A8" s="497" t="s">
        <v>76</v>
      </c>
      <c r="B8" s="503" t="s">
        <v>356</v>
      </c>
      <c r="C8" s="497"/>
      <c r="D8" s="497"/>
      <c r="E8" s="381"/>
      <c r="F8" s="381"/>
      <c r="G8" s="381"/>
      <c r="H8" s="381"/>
      <c r="I8" s="381">
        <f>SUM(I9:I77)</f>
        <v>2740</v>
      </c>
      <c r="J8" s="381">
        <f t="shared" ref="J8:O8" si="2">SUM(J9:J77)</f>
        <v>1806</v>
      </c>
      <c r="K8" s="381"/>
      <c r="L8" s="381"/>
      <c r="M8" s="381">
        <f t="shared" si="2"/>
        <v>700</v>
      </c>
      <c r="N8" s="381">
        <f t="shared" si="2"/>
        <v>489.99999999999994</v>
      </c>
      <c r="O8" s="381">
        <f t="shared" si="2"/>
        <v>1106</v>
      </c>
    </row>
    <row r="9" spans="1:17" s="28" customFormat="1" ht="33" x14ac:dyDescent="0.25">
      <c r="A9" s="701">
        <v>1</v>
      </c>
      <c r="B9" s="504" t="s">
        <v>239</v>
      </c>
      <c r="C9" s="701" t="s">
        <v>11</v>
      </c>
      <c r="D9" s="701" t="s">
        <v>11</v>
      </c>
      <c r="E9" s="505">
        <v>1.2</v>
      </c>
      <c r="F9" s="504"/>
      <c r="G9" s="504"/>
      <c r="H9" s="504"/>
      <c r="I9" s="506">
        <v>39</v>
      </c>
      <c r="J9" s="506">
        <v>20</v>
      </c>
      <c r="K9" s="506" t="s">
        <v>508</v>
      </c>
      <c r="L9" s="507" t="s">
        <v>509</v>
      </c>
      <c r="M9" s="219">
        <f>J9</f>
        <v>20</v>
      </c>
      <c r="N9" s="219">
        <f>M9*70%</f>
        <v>14</v>
      </c>
      <c r="O9" s="219">
        <f>J9-M9</f>
        <v>0</v>
      </c>
    </row>
    <row r="10" spans="1:17" ht="16.5" x14ac:dyDescent="0.25">
      <c r="A10" s="703"/>
      <c r="B10" s="104" t="s">
        <v>510</v>
      </c>
      <c r="C10" s="703"/>
      <c r="D10" s="703"/>
      <c r="E10" s="218">
        <v>1.2</v>
      </c>
      <c r="F10" s="104"/>
      <c r="G10" s="104"/>
      <c r="H10" s="104"/>
      <c r="I10" s="219">
        <v>38</v>
      </c>
      <c r="J10" s="219">
        <v>20</v>
      </c>
      <c r="K10" s="219" t="s">
        <v>270</v>
      </c>
      <c r="L10" s="220" t="s">
        <v>511</v>
      </c>
      <c r="M10" s="219">
        <f>J10</f>
        <v>20</v>
      </c>
      <c r="N10" s="219">
        <f t="shared" ref="N10:N73" si="3">M10*70%</f>
        <v>14</v>
      </c>
      <c r="O10" s="219">
        <f t="shared" ref="O10:O73" si="4">J10-M10</f>
        <v>0</v>
      </c>
    </row>
    <row r="11" spans="1:17" ht="16.5" x14ac:dyDescent="0.25">
      <c r="A11" s="703"/>
      <c r="B11" s="104" t="s">
        <v>512</v>
      </c>
      <c r="C11" s="703"/>
      <c r="D11" s="703"/>
      <c r="E11" s="218">
        <v>1.5</v>
      </c>
      <c r="F11" s="104"/>
      <c r="G11" s="104"/>
      <c r="H11" s="104"/>
      <c r="I11" s="219">
        <v>45</v>
      </c>
      <c r="J11" s="219">
        <v>25</v>
      </c>
      <c r="K11" s="219" t="s">
        <v>259</v>
      </c>
      <c r="L11" s="220" t="s">
        <v>276</v>
      </c>
      <c r="M11" s="219"/>
      <c r="N11" s="219">
        <f t="shared" si="3"/>
        <v>0</v>
      </c>
      <c r="O11" s="219">
        <f t="shared" si="4"/>
        <v>25</v>
      </c>
    </row>
    <row r="12" spans="1:17" ht="16.5" x14ac:dyDescent="0.25">
      <c r="A12" s="702"/>
      <c r="B12" s="104" t="s">
        <v>513</v>
      </c>
      <c r="C12" s="702"/>
      <c r="D12" s="702"/>
      <c r="E12" s="218">
        <v>2.2000000000000002</v>
      </c>
      <c r="F12" s="104"/>
      <c r="G12" s="104"/>
      <c r="H12" s="104"/>
      <c r="I12" s="219">
        <v>54</v>
      </c>
      <c r="J12" s="219">
        <v>30</v>
      </c>
      <c r="K12" s="219" t="s">
        <v>259</v>
      </c>
      <c r="L12" s="220" t="s">
        <v>276</v>
      </c>
      <c r="M12" s="219"/>
      <c r="N12" s="219">
        <f t="shared" si="3"/>
        <v>0</v>
      </c>
      <c r="O12" s="219">
        <f t="shared" si="4"/>
        <v>30</v>
      </c>
    </row>
    <row r="13" spans="1:17" ht="33" x14ac:dyDescent="0.25">
      <c r="A13" s="701">
        <v>2</v>
      </c>
      <c r="B13" s="104" t="s">
        <v>240</v>
      </c>
      <c r="C13" s="701" t="s">
        <v>13</v>
      </c>
      <c r="D13" s="701" t="s">
        <v>13</v>
      </c>
      <c r="E13" s="218">
        <v>1.4</v>
      </c>
      <c r="F13" s="104"/>
      <c r="G13" s="104"/>
      <c r="H13" s="104"/>
      <c r="I13" s="219">
        <v>47</v>
      </c>
      <c r="J13" s="219">
        <v>30</v>
      </c>
      <c r="K13" s="221" t="s">
        <v>508</v>
      </c>
      <c r="L13" s="104" t="s">
        <v>514</v>
      </c>
      <c r="M13" s="219">
        <v>25</v>
      </c>
      <c r="N13" s="219">
        <f t="shared" si="3"/>
        <v>17.5</v>
      </c>
      <c r="O13" s="219">
        <f t="shared" si="4"/>
        <v>5</v>
      </c>
    </row>
    <row r="14" spans="1:17" ht="16.5" x14ac:dyDescent="0.25">
      <c r="A14" s="703"/>
      <c r="B14" s="104" t="s">
        <v>515</v>
      </c>
      <c r="C14" s="703"/>
      <c r="D14" s="703"/>
      <c r="E14" s="218">
        <v>1.6</v>
      </c>
      <c r="F14" s="104"/>
      <c r="G14" s="104"/>
      <c r="H14" s="104"/>
      <c r="I14" s="219">
        <v>50</v>
      </c>
      <c r="J14" s="219">
        <v>25</v>
      </c>
      <c r="K14" s="221" t="s">
        <v>516</v>
      </c>
      <c r="L14" s="220" t="s">
        <v>242</v>
      </c>
      <c r="M14" s="219"/>
      <c r="N14" s="219">
        <f t="shared" si="3"/>
        <v>0</v>
      </c>
      <c r="O14" s="219">
        <f t="shared" si="4"/>
        <v>25</v>
      </c>
    </row>
    <row r="15" spans="1:17" ht="33" x14ac:dyDescent="0.25">
      <c r="A15" s="703"/>
      <c r="B15" s="104" t="s">
        <v>517</v>
      </c>
      <c r="C15" s="703"/>
      <c r="D15" s="703"/>
      <c r="E15" s="218">
        <v>1.5</v>
      </c>
      <c r="F15" s="104"/>
      <c r="G15" s="104"/>
      <c r="H15" s="104"/>
      <c r="I15" s="219">
        <v>59</v>
      </c>
      <c r="J15" s="219">
        <v>30</v>
      </c>
      <c r="K15" s="221" t="s">
        <v>262</v>
      </c>
      <c r="L15" s="220" t="s">
        <v>518</v>
      </c>
      <c r="M15" s="219">
        <v>25</v>
      </c>
      <c r="N15" s="219">
        <f t="shared" si="3"/>
        <v>17.5</v>
      </c>
      <c r="O15" s="219">
        <f t="shared" si="4"/>
        <v>5</v>
      </c>
    </row>
    <row r="16" spans="1:17" ht="16.5" x14ac:dyDescent="0.25">
      <c r="A16" s="702"/>
      <c r="B16" s="104" t="s">
        <v>519</v>
      </c>
      <c r="C16" s="702"/>
      <c r="D16" s="702"/>
      <c r="E16" s="218">
        <v>0.96</v>
      </c>
      <c r="F16" s="104"/>
      <c r="G16" s="104"/>
      <c r="H16" s="104"/>
      <c r="I16" s="219">
        <v>36</v>
      </c>
      <c r="J16" s="219">
        <v>25</v>
      </c>
      <c r="K16" s="221" t="s">
        <v>241</v>
      </c>
      <c r="L16" s="220" t="s">
        <v>242</v>
      </c>
      <c r="M16" s="219"/>
      <c r="N16" s="219">
        <f t="shared" si="3"/>
        <v>0</v>
      </c>
      <c r="O16" s="219">
        <f t="shared" si="4"/>
        <v>25</v>
      </c>
    </row>
    <row r="17" spans="1:15" ht="33" x14ac:dyDescent="0.25">
      <c r="A17" s="701">
        <v>3</v>
      </c>
      <c r="B17" s="104" t="s">
        <v>244</v>
      </c>
      <c r="C17" s="701" t="s">
        <v>1</v>
      </c>
      <c r="D17" s="701" t="s">
        <v>1</v>
      </c>
      <c r="E17" s="218">
        <v>0.8</v>
      </c>
      <c r="F17" s="104"/>
      <c r="G17" s="104"/>
      <c r="H17" s="104"/>
      <c r="I17" s="219">
        <v>30</v>
      </c>
      <c r="J17" s="219">
        <v>20</v>
      </c>
      <c r="K17" s="221" t="s">
        <v>246</v>
      </c>
      <c r="L17" s="104" t="s">
        <v>514</v>
      </c>
      <c r="M17" s="219">
        <v>20</v>
      </c>
      <c r="N17" s="219">
        <f t="shared" si="3"/>
        <v>14</v>
      </c>
      <c r="O17" s="219">
        <f t="shared" si="4"/>
        <v>0</v>
      </c>
    </row>
    <row r="18" spans="1:15" ht="16.5" x14ac:dyDescent="0.25">
      <c r="A18" s="703"/>
      <c r="B18" s="104" t="s">
        <v>520</v>
      </c>
      <c r="C18" s="703"/>
      <c r="D18" s="703"/>
      <c r="E18" s="218">
        <v>0.5</v>
      </c>
      <c r="F18" s="104"/>
      <c r="G18" s="104"/>
      <c r="H18" s="104"/>
      <c r="I18" s="219">
        <v>18</v>
      </c>
      <c r="J18" s="219">
        <v>9</v>
      </c>
      <c r="K18" s="221" t="s">
        <v>241</v>
      </c>
      <c r="L18" s="104" t="s">
        <v>242</v>
      </c>
      <c r="M18" s="219"/>
      <c r="N18" s="219">
        <f t="shared" si="3"/>
        <v>0</v>
      </c>
      <c r="O18" s="219">
        <f t="shared" si="4"/>
        <v>9</v>
      </c>
    </row>
    <row r="19" spans="1:15" ht="16.5" x14ac:dyDescent="0.25">
      <c r="A19" s="703"/>
      <c r="B19" s="104" t="s">
        <v>521</v>
      </c>
      <c r="C19" s="703"/>
      <c r="D19" s="703"/>
      <c r="E19" s="218">
        <v>1.2</v>
      </c>
      <c r="F19" s="104"/>
      <c r="G19" s="104"/>
      <c r="H19" s="104"/>
      <c r="I19" s="219">
        <v>32</v>
      </c>
      <c r="J19" s="219">
        <v>25</v>
      </c>
      <c r="K19" s="221" t="s">
        <v>259</v>
      </c>
      <c r="L19" s="104" t="s">
        <v>242</v>
      </c>
      <c r="M19" s="219"/>
      <c r="N19" s="219">
        <f t="shared" si="3"/>
        <v>0</v>
      </c>
      <c r="O19" s="219">
        <f t="shared" si="4"/>
        <v>25</v>
      </c>
    </row>
    <row r="20" spans="1:15" ht="33" x14ac:dyDescent="0.25">
      <c r="A20" s="703"/>
      <c r="B20" s="104" t="s">
        <v>522</v>
      </c>
      <c r="C20" s="703"/>
      <c r="D20" s="703"/>
      <c r="E20" s="218">
        <v>1.4</v>
      </c>
      <c r="F20" s="104"/>
      <c r="G20" s="104"/>
      <c r="H20" s="104"/>
      <c r="I20" s="219">
        <v>50</v>
      </c>
      <c r="J20" s="219">
        <v>26</v>
      </c>
      <c r="K20" s="221" t="s">
        <v>259</v>
      </c>
      <c r="L20" s="104" t="s">
        <v>242</v>
      </c>
      <c r="M20" s="219"/>
      <c r="N20" s="219">
        <f t="shared" si="3"/>
        <v>0</v>
      </c>
      <c r="O20" s="219">
        <f t="shared" si="4"/>
        <v>26</v>
      </c>
    </row>
    <row r="21" spans="1:15" ht="33" x14ac:dyDescent="0.25">
      <c r="A21" s="703"/>
      <c r="B21" s="104" t="s">
        <v>245</v>
      </c>
      <c r="C21" s="703"/>
      <c r="D21" s="703"/>
      <c r="E21" s="218">
        <v>0.08</v>
      </c>
      <c r="F21" s="104"/>
      <c r="G21" s="104"/>
      <c r="H21" s="104"/>
      <c r="I21" s="219">
        <v>8</v>
      </c>
      <c r="J21" s="219">
        <v>7</v>
      </c>
      <c r="K21" s="221" t="s">
        <v>269</v>
      </c>
      <c r="L21" s="104" t="s">
        <v>247</v>
      </c>
      <c r="M21" s="219">
        <v>7</v>
      </c>
      <c r="N21" s="219">
        <f t="shared" si="3"/>
        <v>4.8999999999999995</v>
      </c>
      <c r="O21" s="219">
        <f t="shared" si="4"/>
        <v>0</v>
      </c>
    </row>
    <row r="22" spans="1:15" ht="16.5" x14ac:dyDescent="0.25">
      <c r="A22" s="702"/>
      <c r="B22" s="104" t="s">
        <v>523</v>
      </c>
      <c r="C22" s="702"/>
      <c r="D22" s="702"/>
      <c r="E22" s="218">
        <v>1.3</v>
      </c>
      <c r="F22" s="104"/>
      <c r="G22" s="104"/>
      <c r="H22" s="104"/>
      <c r="I22" s="219">
        <v>43</v>
      </c>
      <c r="J22" s="219">
        <v>22</v>
      </c>
      <c r="K22" s="221" t="s">
        <v>516</v>
      </c>
      <c r="L22" s="104" t="s">
        <v>242</v>
      </c>
      <c r="M22" s="219"/>
      <c r="N22" s="219">
        <f t="shared" si="3"/>
        <v>0</v>
      </c>
      <c r="O22" s="219">
        <f t="shared" si="4"/>
        <v>22</v>
      </c>
    </row>
    <row r="23" spans="1:15" ht="33" x14ac:dyDescent="0.25">
      <c r="A23" s="701">
        <v>4</v>
      </c>
      <c r="B23" s="104" t="s">
        <v>248</v>
      </c>
      <c r="C23" s="701" t="s">
        <v>5</v>
      </c>
      <c r="D23" s="218" t="s">
        <v>524</v>
      </c>
      <c r="E23" s="218">
        <v>1.35</v>
      </c>
      <c r="F23" s="104"/>
      <c r="G23" s="104"/>
      <c r="H23" s="104"/>
      <c r="I23" s="219">
        <v>32</v>
      </c>
      <c r="J23" s="219">
        <v>15</v>
      </c>
      <c r="K23" s="221" t="s">
        <v>525</v>
      </c>
      <c r="L23" s="104" t="s">
        <v>526</v>
      </c>
      <c r="M23" s="219">
        <v>15</v>
      </c>
      <c r="N23" s="219">
        <f t="shared" si="3"/>
        <v>10.5</v>
      </c>
      <c r="O23" s="219">
        <f t="shared" si="4"/>
        <v>0</v>
      </c>
    </row>
    <row r="24" spans="1:15" ht="33" x14ac:dyDescent="0.25">
      <c r="A24" s="702"/>
      <c r="B24" s="104" t="s">
        <v>527</v>
      </c>
      <c r="C24" s="702"/>
      <c r="D24" s="218" t="s">
        <v>524</v>
      </c>
      <c r="E24" s="218">
        <v>2</v>
      </c>
      <c r="F24" s="104"/>
      <c r="G24" s="104"/>
      <c r="H24" s="104"/>
      <c r="I24" s="219">
        <v>55</v>
      </c>
      <c r="J24" s="219">
        <v>30</v>
      </c>
      <c r="K24" s="221" t="s">
        <v>259</v>
      </c>
      <c r="L24" s="104" t="s">
        <v>242</v>
      </c>
      <c r="M24" s="219"/>
      <c r="N24" s="219">
        <f t="shared" si="3"/>
        <v>0</v>
      </c>
      <c r="O24" s="219">
        <f t="shared" si="4"/>
        <v>30</v>
      </c>
    </row>
    <row r="25" spans="1:15" ht="33" x14ac:dyDescent="0.25">
      <c r="A25" s="701">
        <v>5</v>
      </c>
      <c r="B25" s="104" t="s">
        <v>249</v>
      </c>
      <c r="C25" s="701" t="s">
        <v>8</v>
      </c>
      <c r="D25" s="218" t="s">
        <v>528</v>
      </c>
      <c r="E25" s="218">
        <v>1.6</v>
      </c>
      <c r="F25" s="104"/>
      <c r="G25" s="104"/>
      <c r="H25" s="104"/>
      <c r="I25" s="219">
        <v>67</v>
      </c>
      <c r="J25" s="219">
        <v>40</v>
      </c>
      <c r="K25" s="221" t="s">
        <v>246</v>
      </c>
      <c r="L25" s="104" t="s">
        <v>529</v>
      </c>
      <c r="M25" s="219">
        <v>30</v>
      </c>
      <c r="N25" s="219">
        <f t="shared" si="3"/>
        <v>21</v>
      </c>
      <c r="O25" s="219">
        <f t="shared" si="4"/>
        <v>10</v>
      </c>
    </row>
    <row r="26" spans="1:15" ht="33" x14ac:dyDescent="0.25">
      <c r="A26" s="703"/>
      <c r="B26" s="104" t="s">
        <v>530</v>
      </c>
      <c r="C26" s="703"/>
      <c r="D26" s="218" t="s">
        <v>528</v>
      </c>
      <c r="E26" s="218">
        <v>1.6</v>
      </c>
      <c r="F26" s="104"/>
      <c r="G26" s="104"/>
      <c r="H26" s="104"/>
      <c r="I26" s="219">
        <v>62</v>
      </c>
      <c r="J26" s="219">
        <v>50</v>
      </c>
      <c r="K26" s="221" t="s">
        <v>270</v>
      </c>
      <c r="L26" s="104" t="s">
        <v>531</v>
      </c>
      <c r="M26" s="219">
        <v>24</v>
      </c>
      <c r="N26" s="219">
        <f t="shared" si="3"/>
        <v>16.799999999999997</v>
      </c>
      <c r="O26" s="219">
        <f t="shared" si="4"/>
        <v>26</v>
      </c>
    </row>
    <row r="27" spans="1:15" ht="33" x14ac:dyDescent="0.25">
      <c r="A27" s="702"/>
      <c r="B27" s="104" t="s">
        <v>532</v>
      </c>
      <c r="C27" s="702"/>
      <c r="D27" s="218" t="s">
        <v>528</v>
      </c>
      <c r="E27" s="218">
        <v>2.5</v>
      </c>
      <c r="F27" s="104"/>
      <c r="G27" s="104"/>
      <c r="H27" s="104"/>
      <c r="I27" s="219">
        <v>72</v>
      </c>
      <c r="J27" s="219">
        <v>40</v>
      </c>
      <c r="K27" s="221" t="s">
        <v>259</v>
      </c>
      <c r="L27" s="104" t="s">
        <v>242</v>
      </c>
      <c r="M27" s="219"/>
      <c r="N27" s="219">
        <f t="shared" si="3"/>
        <v>0</v>
      </c>
      <c r="O27" s="219">
        <f t="shared" si="4"/>
        <v>40</v>
      </c>
    </row>
    <row r="28" spans="1:15" ht="33" x14ac:dyDescent="0.25">
      <c r="A28" s="701">
        <v>6</v>
      </c>
      <c r="B28" s="104" t="s">
        <v>250</v>
      </c>
      <c r="C28" s="701" t="s">
        <v>15</v>
      </c>
      <c r="D28" s="218" t="s">
        <v>528</v>
      </c>
      <c r="E28" s="218">
        <v>0.9</v>
      </c>
      <c r="F28" s="104"/>
      <c r="G28" s="104"/>
      <c r="H28" s="104"/>
      <c r="I28" s="219">
        <v>30</v>
      </c>
      <c r="J28" s="219">
        <v>40</v>
      </c>
      <c r="K28" s="221" t="s">
        <v>525</v>
      </c>
      <c r="L28" s="104" t="s">
        <v>529</v>
      </c>
      <c r="M28" s="219">
        <v>30</v>
      </c>
      <c r="N28" s="219">
        <f t="shared" si="3"/>
        <v>21</v>
      </c>
      <c r="O28" s="219">
        <f t="shared" si="4"/>
        <v>10</v>
      </c>
    </row>
    <row r="29" spans="1:15" ht="33" x14ac:dyDescent="0.25">
      <c r="A29" s="703"/>
      <c r="B29" s="104" t="s">
        <v>251</v>
      </c>
      <c r="C29" s="703"/>
      <c r="D29" s="218" t="s">
        <v>15</v>
      </c>
      <c r="E29" s="218">
        <v>0.85</v>
      </c>
      <c r="F29" s="104"/>
      <c r="G29" s="104"/>
      <c r="H29" s="104"/>
      <c r="I29" s="219">
        <v>38</v>
      </c>
      <c r="J29" s="219">
        <v>50</v>
      </c>
      <c r="K29" s="219" t="s">
        <v>246</v>
      </c>
      <c r="L29" s="104" t="s">
        <v>533</v>
      </c>
      <c r="M29" s="219">
        <v>30</v>
      </c>
      <c r="N29" s="219">
        <f t="shared" si="3"/>
        <v>21</v>
      </c>
      <c r="O29" s="219">
        <f t="shared" si="4"/>
        <v>20</v>
      </c>
    </row>
    <row r="30" spans="1:15" ht="16.5" x14ac:dyDescent="0.25">
      <c r="A30" s="702"/>
      <c r="B30" s="104" t="s">
        <v>534</v>
      </c>
      <c r="C30" s="702"/>
      <c r="D30" s="218" t="s">
        <v>15</v>
      </c>
      <c r="E30" s="218">
        <v>1.5</v>
      </c>
      <c r="F30" s="104"/>
      <c r="G30" s="104"/>
      <c r="H30" s="104"/>
      <c r="I30" s="219">
        <v>42</v>
      </c>
      <c r="J30" s="219">
        <v>23</v>
      </c>
      <c r="K30" s="219" t="s">
        <v>516</v>
      </c>
      <c r="L30" s="104" t="s">
        <v>535</v>
      </c>
      <c r="M30" s="219"/>
      <c r="N30" s="219">
        <f t="shared" si="3"/>
        <v>0</v>
      </c>
      <c r="O30" s="219">
        <f t="shared" si="4"/>
        <v>23</v>
      </c>
    </row>
    <row r="31" spans="1:15" ht="33" x14ac:dyDescent="0.25">
      <c r="A31" s="701">
        <v>7</v>
      </c>
      <c r="B31" s="104" t="s">
        <v>252</v>
      </c>
      <c r="C31" s="701" t="s">
        <v>9</v>
      </c>
      <c r="D31" s="218" t="s">
        <v>528</v>
      </c>
      <c r="E31" s="218">
        <v>0.01</v>
      </c>
      <c r="F31" s="104"/>
      <c r="G31" s="104"/>
      <c r="H31" s="104"/>
      <c r="I31" s="219">
        <v>10</v>
      </c>
      <c r="J31" s="219">
        <v>8</v>
      </c>
      <c r="K31" s="221" t="s">
        <v>508</v>
      </c>
      <c r="L31" s="104" t="s">
        <v>529</v>
      </c>
      <c r="M31" s="219">
        <v>8</v>
      </c>
      <c r="N31" s="219">
        <f t="shared" si="3"/>
        <v>5.6</v>
      </c>
      <c r="O31" s="219">
        <f t="shared" si="4"/>
        <v>0</v>
      </c>
    </row>
    <row r="32" spans="1:15" ht="16.5" x14ac:dyDescent="0.25">
      <c r="A32" s="702"/>
      <c r="B32" s="104" t="s">
        <v>536</v>
      </c>
      <c r="C32" s="702"/>
      <c r="D32" s="218" t="s">
        <v>9</v>
      </c>
      <c r="E32" s="218" t="s">
        <v>537</v>
      </c>
      <c r="F32" s="104"/>
      <c r="G32" s="104"/>
      <c r="H32" s="104"/>
      <c r="I32" s="219">
        <v>48</v>
      </c>
      <c r="J32" s="219">
        <v>30</v>
      </c>
      <c r="K32" s="219" t="s">
        <v>516</v>
      </c>
      <c r="L32" s="104" t="s">
        <v>535</v>
      </c>
      <c r="M32" s="219"/>
      <c r="N32" s="219">
        <f t="shared" si="3"/>
        <v>0</v>
      </c>
      <c r="O32" s="219">
        <f t="shared" si="4"/>
        <v>30</v>
      </c>
    </row>
    <row r="33" spans="1:15" ht="33" x14ac:dyDescent="0.25">
      <c r="A33" s="701">
        <v>8</v>
      </c>
      <c r="B33" s="104" t="s">
        <v>538</v>
      </c>
      <c r="C33" s="701" t="s">
        <v>539</v>
      </c>
      <c r="D33" s="218" t="s">
        <v>540</v>
      </c>
      <c r="E33" s="218">
        <v>4</v>
      </c>
      <c r="F33" s="104"/>
      <c r="G33" s="104"/>
      <c r="H33" s="104"/>
      <c r="I33" s="219">
        <v>80</v>
      </c>
      <c r="J33" s="219">
        <v>36</v>
      </c>
      <c r="K33" s="219" t="s">
        <v>516</v>
      </c>
      <c r="L33" s="104" t="s">
        <v>535</v>
      </c>
      <c r="M33" s="219"/>
      <c r="N33" s="219">
        <f t="shared" si="3"/>
        <v>0</v>
      </c>
      <c r="O33" s="219">
        <f t="shared" si="4"/>
        <v>36</v>
      </c>
    </row>
    <row r="34" spans="1:15" ht="16.5" x14ac:dyDescent="0.25">
      <c r="A34" s="703"/>
      <c r="B34" s="104" t="s">
        <v>541</v>
      </c>
      <c r="C34" s="703"/>
      <c r="D34" s="218" t="s">
        <v>539</v>
      </c>
      <c r="E34" s="218" t="s">
        <v>542</v>
      </c>
      <c r="F34" s="104"/>
      <c r="G34" s="104"/>
      <c r="H34" s="104"/>
      <c r="I34" s="219">
        <v>28</v>
      </c>
      <c r="J34" s="219">
        <v>16</v>
      </c>
      <c r="K34" s="219" t="s">
        <v>516</v>
      </c>
      <c r="L34" s="104" t="s">
        <v>535</v>
      </c>
      <c r="M34" s="219"/>
      <c r="N34" s="219">
        <f t="shared" si="3"/>
        <v>0</v>
      </c>
      <c r="O34" s="219">
        <f t="shared" si="4"/>
        <v>16</v>
      </c>
    </row>
    <row r="35" spans="1:15" ht="33" x14ac:dyDescent="0.25">
      <c r="A35" s="703"/>
      <c r="B35" s="104" t="s">
        <v>253</v>
      </c>
      <c r="C35" s="703"/>
      <c r="D35" s="218" t="s">
        <v>12</v>
      </c>
      <c r="E35" s="218">
        <v>2</v>
      </c>
      <c r="F35" s="104"/>
      <c r="G35" s="104"/>
      <c r="H35" s="104"/>
      <c r="I35" s="219">
        <v>66</v>
      </c>
      <c r="J35" s="219">
        <v>55</v>
      </c>
      <c r="K35" s="221" t="s">
        <v>246</v>
      </c>
      <c r="L35" s="104" t="s">
        <v>533</v>
      </c>
      <c r="M35" s="219">
        <v>40</v>
      </c>
      <c r="N35" s="219">
        <f t="shared" si="3"/>
        <v>28</v>
      </c>
      <c r="O35" s="219">
        <f t="shared" si="4"/>
        <v>15</v>
      </c>
    </row>
    <row r="36" spans="1:15" ht="26.25" customHeight="1" x14ac:dyDescent="0.25">
      <c r="A36" s="702"/>
      <c r="B36" s="104" t="s">
        <v>543</v>
      </c>
      <c r="C36" s="702"/>
      <c r="D36" s="218" t="s">
        <v>12</v>
      </c>
      <c r="E36" s="218">
        <v>1</v>
      </c>
      <c r="F36" s="104"/>
      <c r="G36" s="104"/>
      <c r="H36" s="104"/>
      <c r="I36" s="219">
        <v>30</v>
      </c>
      <c r="J36" s="219">
        <v>22</v>
      </c>
      <c r="K36" s="221" t="s">
        <v>241</v>
      </c>
      <c r="L36" s="104" t="s">
        <v>242</v>
      </c>
      <c r="M36" s="219"/>
      <c r="N36" s="219">
        <f t="shared" si="3"/>
        <v>0</v>
      </c>
      <c r="O36" s="219">
        <f t="shared" si="4"/>
        <v>22</v>
      </c>
    </row>
    <row r="37" spans="1:15" ht="33" x14ac:dyDescent="0.25">
      <c r="A37" s="701">
        <v>9</v>
      </c>
      <c r="B37" s="104" t="s">
        <v>255</v>
      </c>
      <c r="C37" s="701" t="s">
        <v>4</v>
      </c>
      <c r="D37" s="218" t="s">
        <v>4</v>
      </c>
      <c r="E37" s="218">
        <v>1.5</v>
      </c>
      <c r="F37" s="104"/>
      <c r="G37" s="104"/>
      <c r="H37" s="104"/>
      <c r="I37" s="219">
        <v>50</v>
      </c>
      <c r="J37" s="219">
        <v>40</v>
      </c>
      <c r="K37" s="219" t="s">
        <v>525</v>
      </c>
      <c r="L37" s="104" t="s">
        <v>514</v>
      </c>
      <c r="M37" s="219">
        <v>35</v>
      </c>
      <c r="N37" s="219">
        <f t="shared" si="3"/>
        <v>24.5</v>
      </c>
      <c r="O37" s="219">
        <f t="shared" si="4"/>
        <v>5</v>
      </c>
    </row>
    <row r="38" spans="1:15" ht="16.5" x14ac:dyDescent="0.25">
      <c r="A38" s="703"/>
      <c r="B38" s="104" t="s">
        <v>256</v>
      </c>
      <c r="C38" s="703"/>
      <c r="D38" s="218" t="s">
        <v>528</v>
      </c>
      <c r="E38" s="218">
        <v>0.4</v>
      </c>
      <c r="F38" s="104"/>
      <c r="G38" s="104"/>
      <c r="H38" s="104"/>
      <c r="I38" s="219">
        <v>10</v>
      </c>
      <c r="J38" s="219">
        <v>30</v>
      </c>
      <c r="K38" s="219" t="s">
        <v>269</v>
      </c>
      <c r="L38" s="220" t="s">
        <v>544</v>
      </c>
      <c r="M38" s="219">
        <v>20</v>
      </c>
      <c r="N38" s="219">
        <f t="shared" si="3"/>
        <v>14</v>
      </c>
      <c r="O38" s="219">
        <f t="shared" si="4"/>
        <v>10</v>
      </c>
    </row>
    <row r="39" spans="1:15" ht="33" x14ac:dyDescent="0.25">
      <c r="A39" s="702"/>
      <c r="B39" s="104" t="s">
        <v>545</v>
      </c>
      <c r="C39" s="702"/>
      <c r="D39" s="218" t="s">
        <v>528</v>
      </c>
      <c r="E39" s="218">
        <v>1.3</v>
      </c>
      <c r="F39" s="104"/>
      <c r="G39" s="104"/>
      <c r="H39" s="104"/>
      <c r="I39" s="219">
        <v>40</v>
      </c>
      <c r="J39" s="219">
        <v>36</v>
      </c>
      <c r="K39" s="219" t="s">
        <v>259</v>
      </c>
      <c r="L39" s="220" t="s">
        <v>242</v>
      </c>
      <c r="M39" s="219"/>
      <c r="N39" s="219">
        <f t="shared" si="3"/>
        <v>0</v>
      </c>
      <c r="O39" s="219">
        <f t="shared" si="4"/>
        <v>36</v>
      </c>
    </row>
    <row r="40" spans="1:15" ht="33" x14ac:dyDescent="0.25">
      <c r="A40" s="701">
        <v>10</v>
      </c>
      <c r="B40" s="104" t="s">
        <v>257</v>
      </c>
      <c r="C40" s="701" t="s">
        <v>3</v>
      </c>
      <c r="D40" s="701" t="s">
        <v>546</v>
      </c>
      <c r="E40" s="218">
        <v>1.7</v>
      </c>
      <c r="F40" s="104"/>
      <c r="G40" s="104"/>
      <c r="H40" s="104"/>
      <c r="I40" s="219">
        <v>32</v>
      </c>
      <c r="J40" s="219">
        <v>35</v>
      </c>
      <c r="K40" s="219" t="s">
        <v>270</v>
      </c>
      <c r="L40" s="220" t="s">
        <v>258</v>
      </c>
      <c r="M40" s="219">
        <v>35</v>
      </c>
      <c r="N40" s="219">
        <f t="shared" si="3"/>
        <v>24.5</v>
      </c>
      <c r="O40" s="219">
        <f t="shared" si="4"/>
        <v>0</v>
      </c>
    </row>
    <row r="41" spans="1:15" ht="16.5" x14ac:dyDescent="0.25">
      <c r="A41" s="703"/>
      <c r="B41" s="104" t="s">
        <v>547</v>
      </c>
      <c r="C41" s="703"/>
      <c r="D41" s="703"/>
      <c r="E41" s="218">
        <v>1.1499999999999999</v>
      </c>
      <c r="F41" s="104"/>
      <c r="G41" s="104"/>
      <c r="H41" s="104"/>
      <c r="I41" s="219">
        <v>28</v>
      </c>
      <c r="J41" s="219">
        <v>30</v>
      </c>
      <c r="K41" s="219" t="s">
        <v>516</v>
      </c>
      <c r="L41" s="220" t="s">
        <v>242</v>
      </c>
      <c r="M41" s="219"/>
      <c r="N41" s="219">
        <f t="shared" si="3"/>
        <v>0</v>
      </c>
      <c r="O41" s="219">
        <f t="shared" si="4"/>
        <v>30</v>
      </c>
    </row>
    <row r="42" spans="1:15" ht="16.5" x14ac:dyDescent="0.25">
      <c r="A42" s="703"/>
      <c r="B42" s="104" t="s">
        <v>548</v>
      </c>
      <c r="C42" s="703"/>
      <c r="D42" s="703"/>
      <c r="E42" s="218">
        <v>1.6</v>
      </c>
      <c r="F42" s="104"/>
      <c r="G42" s="104"/>
      <c r="H42" s="104"/>
      <c r="I42" s="219">
        <v>36</v>
      </c>
      <c r="J42" s="219">
        <v>28</v>
      </c>
      <c r="K42" s="219" t="s">
        <v>259</v>
      </c>
      <c r="L42" s="220" t="s">
        <v>242</v>
      </c>
      <c r="M42" s="219"/>
      <c r="N42" s="219">
        <f t="shared" si="3"/>
        <v>0</v>
      </c>
      <c r="O42" s="219">
        <f t="shared" si="4"/>
        <v>28</v>
      </c>
    </row>
    <row r="43" spans="1:15" ht="33" x14ac:dyDescent="0.25">
      <c r="A43" s="702"/>
      <c r="B43" s="104" t="s">
        <v>549</v>
      </c>
      <c r="C43" s="702"/>
      <c r="D43" s="702"/>
      <c r="E43" s="218">
        <v>1.4</v>
      </c>
      <c r="F43" s="104"/>
      <c r="G43" s="104"/>
      <c r="H43" s="104"/>
      <c r="I43" s="219">
        <v>30</v>
      </c>
      <c r="J43" s="219">
        <v>40</v>
      </c>
      <c r="K43" s="219" t="s">
        <v>525</v>
      </c>
      <c r="L43" s="104" t="s">
        <v>529</v>
      </c>
      <c r="M43" s="219">
        <v>30</v>
      </c>
      <c r="N43" s="219">
        <f t="shared" si="3"/>
        <v>21</v>
      </c>
      <c r="O43" s="219">
        <f t="shared" si="4"/>
        <v>10</v>
      </c>
    </row>
    <row r="44" spans="1:15" ht="16.5" x14ac:dyDescent="0.25">
      <c r="A44" s="701">
        <v>11</v>
      </c>
      <c r="B44" s="104" t="s">
        <v>260</v>
      </c>
      <c r="C44" s="701" t="s">
        <v>16</v>
      </c>
      <c r="D44" s="701" t="s">
        <v>550</v>
      </c>
      <c r="E44" s="218">
        <v>1.3</v>
      </c>
      <c r="F44" s="104"/>
      <c r="G44" s="104"/>
      <c r="H44" s="104"/>
      <c r="I44" s="219">
        <v>50</v>
      </c>
      <c r="J44" s="219">
        <v>40</v>
      </c>
      <c r="K44" s="221" t="s">
        <v>516</v>
      </c>
      <c r="L44" s="220" t="s">
        <v>261</v>
      </c>
      <c r="M44" s="219"/>
      <c r="N44" s="219">
        <f t="shared" si="3"/>
        <v>0</v>
      </c>
      <c r="O44" s="219">
        <f t="shared" si="4"/>
        <v>40</v>
      </c>
    </row>
    <row r="45" spans="1:15" ht="33" x14ac:dyDescent="0.25">
      <c r="A45" s="703"/>
      <c r="B45" s="104" t="s">
        <v>551</v>
      </c>
      <c r="C45" s="703"/>
      <c r="D45" s="703"/>
      <c r="E45" s="218">
        <v>1.53</v>
      </c>
      <c r="F45" s="104"/>
      <c r="G45" s="104"/>
      <c r="H45" s="104"/>
      <c r="I45" s="219">
        <v>59</v>
      </c>
      <c r="J45" s="219">
        <v>40</v>
      </c>
      <c r="K45" s="221" t="s">
        <v>246</v>
      </c>
      <c r="L45" s="220" t="s">
        <v>552</v>
      </c>
      <c r="M45" s="219">
        <v>30</v>
      </c>
      <c r="N45" s="219">
        <f t="shared" si="3"/>
        <v>21</v>
      </c>
      <c r="O45" s="219">
        <f t="shared" si="4"/>
        <v>10</v>
      </c>
    </row>
    <row r="46" spans="1:15" ht="16.5" x14ac:dyDescent="0.25">
      <c r="A46" s="703"/>
      <c r="B46" s="104" t="s">
        <v>553</v>
      </c>
      <c r="C46" s="703"/>
      <c r="D46" s="703"/>
      <c r="E46" s="218">
        <v>0.95</v>
      </c>
      <c r="F46" s="104"/>
      <c r="G46" s="104"/>
      <c r="H46" s="104"/>
      <c r="I46" s="219">
        <v>38</v>
      </c>
      <c r="J46" s="219">
        <v>24</v>
      </c>
      <c r="K46" s="221" t="s">
        <v>275</v>
      </c>
      <c r="L46" s="220" t="s">
        <v>554</v>
      </c>
      <c r="M46" s="219">
        <v>24</v>
      </c>
      <c r="N46" s="219">
        <f t="shared" si="3"/>
        <v>16.799999999999997</v>
      </c>
      <c r="O46" s="219">
        <f t="shared" si="4"/>
        <v>0</v>
      </c>
    </row>
    <row r="47" spans="1:15" ht="16.5" x14ac:dyDescent="0.25">
      <c r="A47" s="702"/>
      <c r="B47" s="104" t="s">
        <v>555</v>
      </c>
      <c r="C47" s="702"/>
      <c r="D47" s="702"/>
      <c r="E47" s="218">
        <v>1.6</v>
      </c>
      <c r="F47" s="104"/>
      <c r="G47" s="104"/>
      <c r="H47" s="104"/>
      <c r="I47" s="219">
        <v>54</v>
      </c>
      <c r="J47" s="219">
        <v>26</v>
      </c>
      <c r="K47" s="221" t="s">
        <v>516</v>
      </c>
      <c r="L47" s="220" t="s">
        <v>242</v>
      </c>
      <c r="M47" s="219"/>
      <c r="N47" s="219">
        <f t="shared" si="3"/>
        <v>0</v>
      </c>
      <c r="O47" s="219">
        <f t="shared" si="4"/>
        <v>26</v>
      </c>
    </row>
    <row r="48" spans="1:15" ht="33" x14ac:dyDescent="0.25">
      <c r="A48" s="701">
        <v>12</v>
      </c>
      <c r="B48" s="104" t="s">
        <v>263</v>
      </c>
      <c r="C48" s="701" t="s">
        <v>20</v>
      </c>
      <c r="D48" s="705" t="s">
        <v>528</v>
      </c>
      <c r="E48" s="218">
        <v>1.5</v>
      </c>
      <c r="F48" s="104"/>
      <c r="G48" s="104"/>
      <c r="H48" s="104"/>
      <c r="I48" s="219">
        <v>45</v>
      </c>
      <c r="J48" s="219">
        <v>20</v>
      </c>
      <c r="K48" s="221" t="s">
        <v>525</v>
      </c>
      <c r="L48" s="104" t="s">
        <v>529</v>
      </c>
      <c r="M48" s="219">
        <v>20</v>
      </c>
      <c r="N48" s="219">
        <f t="shared" si="3"/>
        <v>14</v>
      </c>
      <c r="O48" s="219">
        <f t="shared" si="4"/>
        <v>0</v>
      </c>
    </row>
    <row r="49" spans="1:15" ht="16.5" x14ac:dyDescent="0.25">
      <c r="A49" s="703"/>
      <c r="B49" s="104" t="s">
        <v>264</v>
      </c>
      <c r="C49" s="703"/>
      <c r="D49" s="705"/>
      <c r="E49" s="218">
        <v>1</v>
      </c>
      <c r="F49" s="104"/>
      <c r="G49" s="104"/>
      <c r="H49" s="104"/>
      <c r="I49" s="219">
        <v>30</v>
      </c>
      <c r="J49" s="219">
        <v>25</v>
      </c>
      <c r="K49" s="221" t="s">
        <v>262</v>
      </c>
      <c r="L49" s="220" t="s">
        <v>556</v>
      </c>
      <c r="M49" s="219">
        <v>20</v>
      </c>
      <c r="N49" s="219">
        <f t="shared" si="3"/>
        <v>14</v>
      </c>
      <c r="O49" s="219">
        <f t="shared" si="4"/>
        <v>5</v>
      </c>
    </row>
    <row r="50" spans="1:15" ht="16.5" x14ac:dyDescent="0.25">
      <c r="A50" s="702"/>
      <c r="B50" s="104" t="s">
        <v>557</v>
      </c>
      <c r="C50" s="702"/>
      <c r="D50" s="218" t="s">
        <v>20</v>
      </c>
      <c r="E50" s="218">
        <v>1</v>
      </c>
      <c r="F50" s="104"/>
      <c r="G50" s="104"/>
      <c r="H50" s="104"/>
      <c r="I50" s="219">
        <v>30</v>
      </c>
      <c r="J50" s="219">
        <v>20</v>
      </c>
      <c r="K50" s="221" t="s">
        <v>241</v>
      </c>
      <c r="L50" s="220" t="s">
        <v>242</v>
      </c>
      <c r="M50" s="219"/>
      <c r="N50" s="219">
        <f t="shared" si="3"/>
        <v>0</v>
      </c>
      <c r="O50" s="219">
        <f t="shared" si="4"/>
        <v>20</v>
      </c>
    </row>
    <row r="51" spans="1:15" ht="33" x14ac:dyDescent="0.25">
      <c r="A51" s="701">
        <v>13</v>
      </c>
      <c r="B51" s="104" t="s">
        <v>265</v>
      </c>
      <c r="C51" s="701" t="s">
        <v>7</v>
      </c>
      <c r="D51" s="701" t="s">
        <v>7</v>
      </c>
      <c r="E51" s="218">
        <v>0.6</v>
      </c>
      <c r="F51" s="104"/>
      <c r="G51" s="104"/>
      <c r="H51" s="104"/>
      <c r="I51" s="219">
        <v>25</v>
      </c>
      <c r="J51" s="219">
        <v>10</v>
      </c>
      <c r="K51" s="221" t="s">
        <v>525</v>
      </c>
      <c r="L51" s="220" t="s">
        <v>558</v>
      </c>
      <c r="M51" s="219">
        <v>10</v>
      </c>
      <c r="N51" s="219">
        <f t="shared" si="3"/>
        <v>7</v>
      </c>
      <c r="O51" s="219">
        <f t="shared" si="4"/>
        <v>0</v>
      </c>
    </row>
    <row r="52" spans="1:15" ht="33" x14ac:dyDescent="0.25">
      <c r="A52" s="703"/>
      <c r="B52" s="104" t="s">
        <v>559</v>
      </c>
      <c r="C52" s="703"/>
      <c r="D52" s="703"/>
      <c r="E52" s="218">
        <v>1</v>
      </c>
      <c r="F52" s="104"/>
      <c r="G52" s="104"/>
      <c r="H52" s="104"/>
      <c r="I52" s="219">
        <v>36</v>
      </c>
      <c r="J52" s="219">
        <v>23</v>
      </c>
      <c r="K52" s="221" t="s">
        <v>516</v>
      </c>
      <c r="L52" s="220" t="s">
        <v>242</v>
      </c>
      <c r="M52" s="219"/>
      <c r="N52" s="219">
        <f t="shared" si="3"/>
        <v>0</v>
      </c>
      <c r="O52" s="219">
        <f t="shared" si="4"/>
        <v>23</v>
      </c>
    </row>
    <row r="53" spans="1:15" ht="33" x14ac:dyDescent="0.25">
      <c r="A53" s="702"/>
      <c r="B53" s="104" t="s">
        <v>266</v>
      </c>
      <c r="C53" s="702"/>
      <c r="D53" s="702"/>
      <c r="E53" s="218">
        <v>0.2</v>
      </c>
      <c r="F53" s="104"/>
      <c r="G53" s="104"/>
      <c r="H53" s="104"/>
      <c r="I53" s="219">
        <v>10</v>
      </c>
      <c r="J53" s="219">
        <v>7</v>
      </c>
      <c r="K53" s="221" t="s">
        <v>275</v>
      </c>
      <c r="L53" s="220" t="s">
        <v>254</v>
      </c>
      <c r="M53" s="219">
        <v>7</v>
      </c>
      <c r="N53" s="219">
        <f t="shared" si="3"/>
        <v>4.8999999999999995</v>
      </c>
      <c r="O53" s="219">
        <f t="shared" si="4"/>
        <v>0</v>
      </c>
    </row>
    <row r="54" spans="1:15" ht="33" x14ac:dyDescent="0.25">
      <c r="A54" s="701">
        <v>14</v>
      </c>
      <c r="B54" s="104" t="s">
        <v>560</v>
      </c>
      <c r="C54" s="701" t="s">
        <v>14</v>
      </c>
      <c r="D54" s="701" t="s">
        <v>14</v>
      </c>
      <c r="E54" s="218">
        <v>1.5</v>
      </c>
      <c r="F54" s="104"/>
      <c r="G54" s="104"/>
      <c r="H54" s="104"/>
      <c r="I54" s="219">
        <v>45</v>
      </c>
      <c r="J54" s="219">
        <v>30</v>
      </c>
      <c r="K54" s="221" t="s">
        <v>508</v>
      </c>
      <c r="L54" s="220" t="s">
        <v>561</v>
      </c>
      <c r="M54" s="219">
        <v>25</v>
      </c>
      <c r="N54" s="219">
        <f t="shared" si="3"/>
        <v>17.5</v>
      </c>
      <c r="O54" s="219">
        <f t="shared" si="4"/>
        <v>5</v>
      </c>
    </row>
    <row r="55" spans="1:15" ht="16.5" x14ac:dyDescent="0.25">
      <c r="A55" s="702"/>
      <c r="B55" s="104" t="s">
        <v>562</v>
      </c>
      <c r="C55" s="702"/>
      <c r="D55" s="702"/>
      <c r="E55" s="218">
        <v>2</v>
      </c>
      <c r="F55" s="104"/>
      <c r="G55" s="104"/>
      <c r="H55" s="104"/>
      <c r="I55" s="219">
        <v>55</v>
      </c>
      <c r="J55" s="219">
        <v>32</v>
      </c>
      <c r="K55" s="221" t="s">
        <v>241</v>
      </c>
      <c r="L55" s="220" t="s">
        <v>242</v>
      </c>
      <c r="M55" s="219"/>
      <c r="N55" s="219">
        <f t="shared" si="3"/>
        <v>0</v>
      </c>
      <c r="O55" s="219">
        <f t="shared" si="4"/>
        <v>32</v>
      </c>
    </row>
    <row r="56" spans="1:15" ht="33" x14ac:dyDescent="0.25">
      <c r="A56" s="701">
        <v>15</v>
      </c>
      <c r="B56" s="104" t="s">
        <v>563</v>
      </c>
      <c r="C56" s="701" t="s">
        <v>17</v>
      </c>
      <c r="D56" s="701" t="s">
        <v>17</v>
      </c>
      <c r="E56" s="218">
        <v>1.8</v>
      </c>
      <c r="F56" s="104"/>
      <c r="G56" s="104"/>
      <c r="H56" s="104"/>
      <c r="I56" s="219">
        <v>45</v>
      </c>
      <c r="J56" s="219">
        <v>22</v>
      </c>
      <c r="K56" s="221" t="s">
        <v>259</v>
      </c>
      <c r="L56" s="220" t="s">
        <v>242</v>
      </c>
      <c r="M56" s="219"/>
      <c r="N56" s="219">
        <f t="shared" si="3"/>
        <v>0</v>
      </c>
      <c r="O56" s="219">
        <f t="shared" si="4"/>
        <v>22</v>
      </c>
    </row>
    <row r="57" spans="1:15" ht="33" x14ac:dyDescent="0.25">
      <c r="A57" s="702"/>
      <c r="B57" s="104" t="s">
        <v>267</v>
      </c>
      <c r="C57" s="702"/>
      <c r="D57" s="702"/>
      <c r="E57" s="218">
        <v>0.8</v>
      </c>
      <c r="F57" s="104"/>
      <c r="G57" s="104"/>
      <c r="H57" s="104"/>
      <c r="I57" s="219">
        <v>24</v>
      </c>
      <c r="J57" s="219">
        <v>15</v>
      </c>
      <c r="K57" s="221" t="s">
        <v>508</v>
      </c>
      <c r="L57" s="104" t="s">
        <v>533</v>
      </c>
      <c r="M57" s="219">
        <v>15</v>
      </c>
      <c r="N57" s="219">
        <f t="shared" si="3"/>
        <v>10.5</v>
      </c>
      <c r="O57" s="219">
        <f t="shared" si="4"/>
        <v>0</v>
      </c>
    </row>
    <row r="58" spans="1:15" ht="16.5" x14ac:dyDescent="0.25">
      <c r="A58" s="701">
        <v>16</v>
      </c>
      <c r="B58" s="104" t="s">
        <v>564</v>
      </c>
      <c r="C58" s="701" t="s">
        <v>21</v>
      </c>
      <c r="D58" s="218" t="s">
        <v>528</v>
      </c>
      <c r="E58" s="218" t="s">
        <v>537</v>
      </c>
      <c r="F58" s="104"/>
      <c r="G58" s="104"/>
      <c r="H58" s="104"/>
      <c r="I58" s="219">
        <v>40</v>
      </c>
      <c r="J58" s="219">
        <v>19</v>
      </c>
      <c r="K58" s="221" t="s">
        <v>516</v>
      </c>
      <c r="L58" s="220" t="s">
        <v>242</v>
      </c>
      <c r="M58" s="219"/>
      <c r="N58" s="219">
        <f t="shared" si="3"/>
        <v>0</v>
      </c>
      <c r="O58" s="219">
        <f t="shared" si="4"/>
        <v>19</v>
      </c>
    </row>
    <row r="59" spans="1:15" ht="33" x14ac:dyDescent="0.25">
      <c r="A59" s="702"/>
      <c r="B59" s="104" t="s">
        <v>268</v>
      </c>
      <c r="C59" s="702"/>
      <c r="D59" s="218" t="s">
        <v>21</v>
      </c>
      <c r="E59" s="218">
        <v>1.2</v>
      </c>
      <c r="F59" s="104"/>
      <c r="G59" s="104"/>
      <c r="H59" s="104"/>
      <c r="I59" s="219">
        <v>38</v>
      </c>
      <c r="J59" s="219">
        <v>30</v>
      </c>
      <c r="K59" s="221" t="s">
        <v>269</v>
      </c>
      <c r="L59" s="104" t="s">
        <v>565</v>
      </c>
      <c r="M59" s="219">
        <v>20</v>
      </c>
      <c r="N59" s="219">
        <f t="shared" si="3"/>
        <v>14</v>
      </c>
      <c r="O59" s="219">
        <f t="shared" si="4"/>
        <v>10</v>
      </c>
    </row>
    <row r="60" spans="1:15" ht="16.5" x14ac:dyDescent="0.25">
      <c r="A60" s="701">
        <v>17</v>
      </c>
      <c r="B60" s="104" t="s">
        <v>566</v>
      </c>
      <c r="C60" s="701" t="s">
        <v>0</v>
      </c>
      <c r="D60" s="701" t="s">
        <v>0</v>
      </c>
      <c r="E60" s="218"/>
      <c r="F60" s="104"/>
      <c r="G60" s="104"/>
      <c r="H60" s="104"/>
      <c r="I60" s="219">
        <v>40</v>
      </c>
      <c r="J60" s="219">
        <v>25</v>
      </c>
      <c r="K60" s="221" t="s">
        <v>270</v>
      </c>
      <c r="L60" s="220" t="s">
        <v>242</v>
      </c>
      <c r="M60" s="219">
        <v>20</v>
      </c>
      <c r="N60" s="219">
        <f t="shared" si="3"/>
        <v>14</v>
      </c>
      <c r="O60" s="219">
        <f t="shared" si="4"/>
        <v>5</v>
      </c>
    </row>
    <row r="61" spans="1:15" ht="16.5" x14ac:dyDescent="0.25">
      <c r="A61" s="703"/>
      <c r="B61" s="104" t="s">
        <v>567</v>
      </c>
      <c r="C61" s="703"/>
      <c r="D61" s="702"/>
      <c r="E61" s="218"/>
      <c r="F61" s="104"/>
      <c r="G61" s="104"/>
      <c r="H61" s="104"/>
      <c r="I61" s="219">
        <v>15</v>
      </c>
      <c r="J61" s="219">
        <v>10</v>
      </c>
      <c r="K61" s="221" t="s">
        <v>525</v>
      </c>
      <c r="L61" s="220" t="s">
        <v>271</v>
      </c>
      <c r="M61" s="219">
        <v>10</v>
      </c>
      <c r="N61" s="219">
        <f t="shared" si="3"/>
        <v>7</v>
      </c>
      <c r="O61" s="219">
        <f t="shared" si="4"/>
        <v>0</v>
      </c>
    </row>
    <row r="62" spans="1:15" ht="16.5" x14ac:dyDescent="0.25">
      <c r="A62" s="702"/>
      <c r="B62" s="104" t="s">
        <v>568</v>
      </c>
      <c r="C62" s="702"/>
      <c r="D62" s="218" t="s">
        <v>528</v>
      </c>
      <c r="E62" s="218">
        <v>1.4</v>
      </c>
      <c r="F62" s="104"/>
      <c r="G62" s="104"/>
      <c r="H62" s="104"/>
      <c r="I62" s="219">
        <v>34</v>
      </c>
      <c r="J62" s="219">
        <v>18</v>
      </c>
      <c r="K62" s="221" t="s">
        <v>241</v>
      </c>
      <c r="L62" s="220" t="s">
        <v>242</v>
      </c>
      <c r="M62" s="219">
        <v>0</v>
      </c>
      <c r="N62" s="219">
        <f t="shared" si="3"/>
        <v>0</v>
      </c>
      <c r="O62" s="219">
        <f t="shared" si="4"/>
        <v>18</v>
      </c>
    </row>
    <row r="63" spans="1:15" ht="16.5" x14ac:dyDescent="0.25">
      <c r="A63" s="701">
        <v>18</v>
      </c>
      <c r="B63" s="104" t="s">
        <v>569</v>
      </c>
      <c r="C63" s="701" t="s">
        <v>22</v>
      </c>
      <c r="D63" s="218" t="s">
        <v>528</v>
      </c>
      <c r="E63" s="218">
        <v>0.7</v>
      </c>
      <c r="F63" s="104"/>
      <c r="G63" s="104"/>
      <c r="H63" s="104"/>
      <c r="I63" s="219">
        <v>24</v>
      </c>
      <c r="J63" s="219">
        <v>15</v>
      </c>
      <c r="K63" s="221" t="s">
        <v>241</v>
      </c>
      <c r="L63" s="220" t="s">
        <v>272</v>
      </c>
      <c r="M63" s="219">
        <v>0</v>
      </c>
      <c r="N63" s="219">
        <f t="shared" si="3"/>
        <v>0</v>
      </c>
      <c r="O63" s="219">
        <f t="shared" si="4"/>
        <v>15</v>
      </c>
    </row>
    <row r="64" spans="1:15" ht="16.5" x14ac:dyDescent="0.25">
      <c r="A64" s="703"/>
      <c r="B64" s="104" t="s">
        <v>570</v>
      </c>
      <c r="C64" s="703"/>
      <c r="D64" s="701" t="s">
        <v>22</v>
      </c>
      <c r="E64" s="218">
        <v>1.5</v>
      </c>
      <c r="F64" s="104"/>
      <c r="G64" s="104"/>
      <c r="H64" s="104"/>
      <c r="I64" s="219">
        <v>65</v>
      </c>
      <c r="J64" s="219">
        <v>26</v>
      </c>
      <c r="K64" s="221" t="s">
        <v>241</v>
      </c>
      <c r="L64" s="220" t="s">
        <v>242</v>
      </c>
      <c r="M64" s="219">
        <v>0</v>
      </c>
      <c r="N64" s="219">
        <f t="shared" si="3"/>
        <v>0</v>
      </c>
      <c r="O64" s="219">
        <f t="shared" si="4"/>
        <v>26</v>
      </c>
    </row>
    <row r="65" spans="1:16" ht="16.5" x14ac:dyDescent="0.25">
      <c r="A65" s="702"/>
      <c r="B65" s="104" t="s">
        <v>571</v>
      </c>
      <c r="C65" s="702"/>
      <c r="D65" s="702"/>
      <c r="E65" s="218">
        <v>1.3</v>
      </c>
      <c r="F65" s="104"/>
      <c r="G65" s="104"/>
      <c r="H65" s="104"/>
      <c r="I65" s="219">
        <v>44</v>
      </c>
      <c r="J65" s="219">
        <v>22</v>
      </c>
      <c r="K65" s="221" t="s">
        <v>275</v>
      </c>
      <c r="L65" s="220" t="s">
        <v>242</v>
      </c>
      <c r="M65" s="219">
        <v>15</v>
      </c>
      <c r="N65" s="219">
        <f t="shared" si="3"/>
        <v>10.5</v>
      </c>
      <c r="O65" s="219">
        <f t="shared" si="4"/>
        <v>7</v>
      </c>
    </row>
    <row r="66" spans="1:16" ht="16.5" x14ac:dyDescent="0.25">
      <c r="A66" s="701">
        <v>19</v>
      </c>
      <c r="B66" s="104" t="s">
        <v>572</v>
      </c>
      <c r="C66" s="701" t="s">
        <v>6</v>
      </c>
      <c r="D66" s="508" t="s">
        <v>6</v>
      </c>
      <c r="E66" s="218">
        <v>0.8</v>
      </c>
      <c r="F66" s="104"/>
      <c r="G66" s="104"/>
      <c r="H66" s="104"/>
      <c r="I66" s="219">
        <v>33</v>
      </c>
      <c r="J66" s="219">
        <v>25</v>
      </c>
      <c r="K66" s="221" t="s">
        <v>573</v>
      </c>
      <c r="L66" s="220" t="s">
        <v>242</v>
      </c>
      <c r="M66" s="219">
        <v>15</v>
      </c>
      <c r="N66" s="219">
        <f t="shared" si="3"/>
        <v>10.5</v>
      </c>
      <c r="O66" s="219">
        <f t="shared" si="4"/>
        <v>10</v>
      </c>
    </row>
    <row r="67" spans="1:16" ht="33" x14ac:dyDescent="0.25">
      <c r="A67" s="703"/>
      <c r="B67" s="104" t="s">
        <v>574</v>
      </c>
      <c r="C67" s="703"/>
      <c r="D67" s="218" t="s">
        <v>528</v>
      </c>
      <c r="E67" s="218">
        <v>1.8</v>
      </c>
      <c r="F67" s="104"/>
      <c r="G67" s="104"/>
      <c r="H67" s="104"/>
      <c r="I67" s="219">
        <v>70</v>
      </c>
      <c r="J67" s="219">
        <v>38</v>
      </c>
      <c r="K67" s="221" t="s">
        <v>516</v>
      </c>
      <c r="L67" s="220" t="s">
        <v>273</v>
      </c>
      <c r="M67" s="219"/>
      <c r="N67" s="219">
        <f t="shared" si="3"/>
        <v>0</v>
      </c>
      <c r="O67" s="219">
        <f t="shared" si="4"/>
        <v>38</v>
      </c>
    </row>
    <row r="68" spans="1:16" ht="33" x14ac:dyDescent="0.25">
      <c r="A68" s="702"/>
      <c r="B68" s="104" t="s">
        <v>575</v>
      </c>
      <c r="C68" s="702"/>
      <c r="D68" s="218" t="s">
        <v>6</v>
      </c>
      <c r="E68" s="218">
        <v>1.2</v>
      </c>
      <c r="F68" s="104"/>
      <c r="G68" s="104"/>
      <c r="H68" s="104"/>
      <c r="I68" s="219">
        <v>46</v>
      </c>
      <c r="J68" s="219">
        <v>28</v>
      </c>
      <c r="K68" s="221" t="s">
        <v>259</v>
      </c>
      <c r="L68" s="220" t="s">
        <v>242</v>
      </c>
      <c r="M68" s="219"/>
      <c r="N68" s="219">
        <f t="shared" si="3"/>
        <v>0</v>
      </c>
      <c r="O68" s="219">
        <f t="shared" si="4"/>
        <v>28</v>
      </c>
    </row>
    <row r="69" spans="1:16" ht="33" x14ac:dyDescent="0.25">
      <c r="A69" s="701">
        <v>20</v>
      </c>
      <c r="B69" s="104" t="s">
        <v>576</v>
      </c>
      <c r="C69" s="701" t="s">
        <v>10</v>
      </c>
      <c r="D69" s="218" t="s">
        <v>528</v>
      </c>
      <c r="E69" s="218">
        <v>0.91</v>
      </c>
      <c r="F69" s="104"/>
      <c r="G69" s="104"/>
      <c r="H69" s="104"/>
      <c r="I69" s="219">
        <v>30</v>
      </c>
      <c r="J69" s="219">
        <v>24</v>
      </c>
      <c r="K69" s="221" t="s">
        <v>241</v>
      </c>
      <c r="L69" s="220" t="s">
        <v>242</v>
      </c>
      <c r="M69" s="219"/>
      <c r="N69" s="219">
        <f t="shared" si="3"/>
        <v>0</v>
      </c>
      <c r="O69" s="219">
        <f t="shared" si="4"/>
        <v>24</v>
      </c>
    </row>
    <row r="70" spans="1:16" ht="16.5" x14ac:dyDescent="0.25">
      <c r="A70" s="703"/>
      <c r="B70" s="104" t="s">
        <v>577</v>
      </c>
      <c r="C70" s="703"/>
      <c r="D70" s="218" t="s">
        <v>10</v>
      </c>
      <c r="E70" s="218">
        <v>1</v>
      </c>
      <c r="F70" s="104"/>
      <c r="G70" s="104"/>
      <c r="H70" s="104"/>
      <c r="I70" s="219">
        <v>34</v>
      </c>
      <c r="J70" s="219">
        <v>26</v>
      </c>
      <c r="K70" s="221" t="s">
        <v>358</v>
      </c>
      <c r="L70" s="220" t="s">
        <v>242</v>
      </c>
      <c r="M70" s="219">
        <v>20</v>
      </c>
      <c r="N70" s="219">
        <f t="shared" si="3"/>
        <v>14</v>
      </c>
      <c r="O70" s="219">
        <f t="shared" si="4"/>
        <v>6</v>
      </c>
    </row>
    <row r="71" spans="1:16" ht="33" x14ac:dyDescent="0.25">
      <c r="A71" s="702"/>
      <c r="B71" s="104" t="s">
        <v>578</v>
      </c>
      <c r="C71" s="702"/>
      <c r="D71" s="218" t="s">
        <v>10</v>
      </c>
      <c r="E71" s="218">
        <v>1</v>
      </c>
      <c r="F71" s="104"/>
      <c r="G71" s="104"/>
      <c r="H71" s="104"/>
      <c r="I71" s="219">
        <v>32</v>
      </c>
      <c r="J71" s="219">
        <v>18</v>
      </c>
      <c r="K71" s="221" t="s">
        <v>241</v>
      </c>
      <c r="L71" s="220" t="s">
        <v>272</v>
      </c>
      <c r="M71" s="219"/>
      <c r="N71" s="219">
        <f t="shared" si="3"/>
        <v>0</v>
      </c>
      <c r="O71" s="219">
        <f t="shared" si="4"/>
        <v>18</v>
      </c>
    </row>
    <row r="72" spans="1:16" ht="16.5" x14ac:dyDescent="0.25">
      <c r="A72" s="701">
        <v>21</v>
      </c>
      <c r="B72" s="104" t="s">
        <v>274</v>
      </c>
      <c r="C72" s="701" t="s">
        <v>18</v>
      </c>
      <c r="D72" s="701" t="s">
        <v>18</v>
      </c>
      <c r="E72" s="218">
        <v>0.7</v>
      </c>
      <c r="F72" s="104"/>
      <c r="G72" s="104"/>
      <c r="H72" s="104"/>
      <c r="I72" s="219">
        <v>20</v>
      </c>
      <c r="J72" s="219">
        <v>15</v>
      </c>
      <c r="K72" s="221" t="s">
        <v>243</v>
      </c>
      <c r="L72" s="220" t="s">
        <v>242</v>
      </c>
      <c r="M72" s="219">
        <v>15</v>
      </c>
      <c r="N72" s="219">
        <f t="shared" si="3"/>
        <v>10.5</v>
      </c>
      <c r="O72" s="219">
        <f t="shared" si="4"/>
        <v>0</v>
      </c>
    </row>
    <row r="73" spans="1:16" ht="33" x14ac:dyDescent="0.25">
      <c r="A73" s="702"/>
      <c r="B73" s="104" t="s">
        <v>579</v>
      </c>
      <c r="C73" s="702"/>
      <c r="D73" s="702"/>
      <c r="E73" s="218">
        <v>1.9</v>
      </c>
      <c r="F73" s="104"/>
      <c r="G73" s="104"/>
      <c r="H73" s="104"/>
      <c r="I73" s="219">
        <v>60</v>
      </c>
      <c r="J73" s="219">
        <v>36</v>
      </c>
      <c r="K73" s="221" t="s">
        <v>516</v>
      </c>
      <c r="L73" s="220" t="s">
        <v>276</v>
      </c>
      <c r="M73" s="219"/>
      <c r="N73" s="219">
        <f t="shared" si="3"/>
        <v>0</v>
      </c>
      <c r="O73" s="219">
        <f t="shared" si="4"/>
        <v>36</v>
      </c>
    </row>
    <row r="74" spans="1:16" ht="49.5" x14ac:dyDescent="0.25">
      <c r="A74" s="701">
        <v>22</v>
      </c>
      <c r="B74" s="104" t="s">
        <v>580</v>
      </c>
      <c r="C74" s="701" t="s">
        <v>19</v>
      </c>
      <c r="D74" s="218" t="s">
        <v>528</v>
      </c>
      <c r="E74" s="218">
        <v>1.4</v>
      </c>
      <c r="F74" s="104"/>
      <c r="G74" s="104"/>
      <c r="H74" s="104"/>
      <c r="I74" s="219">
        <v>38</v>
      </c>
      <c r="J74" s="219">
        <v>26</v>
      </c>
      <c r="K74" s="221" t="s">
        <v>275</v>
      </c>
      <c r="L74" s="220" t="s">
        <v>242</v>
      </c>
      <c r="M74" s="219">
        <v>20</v>
      </c>
      <c r="N74" s="219">
        <f t="shared" ref="N74:N76" si="5">M74*70%</f>
        <v>14</v>
      </c>
      <c r="O74" s="219">
        <f t="shared" ref="O74:O77" si="6">J74-M74</f>
        <v>6</v>
      </c>
    </row>
    <row r="75" spans="1:16" ht="49.5" x14ac:dyDescent="0.25">
      <c r="A75" s="703"/>
      <c r="B75" s="104" t="s">
        <v>581</v>
      </c>
      <c r="C75" s="703"/>
      <c r="D75" s="218" t="s">
        <v>528</v>
      </c>
      <c r="E75" s="218">
        <v>1</v>
      </c>
      <c r="F75" s="104"/>
      <c r="G75" s="104"/>
      <c r="H75" s="104"/>
      <c r="I75" s="219">
        <v>30</v>
      </c>
      <c r="J75" s="219">
        <v>24</v>
      </c>
      <c r="K75" s="221" t="s">
        <v>241</v>
      </c>
      <c r="L75" s="220" t="s">
        <v>242</v>
      </c>
      <c r="M75" s="219">
        <v>0</v>
      </c>
      <c r="N75" s="219">
        <f t="shared" si="5"/>
        <v>0</v>
      </c>
      <c r="O75" s="219">
        <f t="shared" si="6"/>
        <v>24</v>
      </c>
    </row>
    <row r="76" spans="1:16" ht="33" x14ac:dyDescent="0.25">
      <c r="A76" s="703"/>
      <c r="B76" s="104" t="s">
        <v>582</v>
      </c>
      <c r="C76" s="703"/>
      <c r="D76" s="218" t="s">
        <v>19</v>
      </c>
      <c r="E76" s="218">
        <v>0.7</v>
      </c>
      <c r="F76" s="104"/>
      <c r="G76" s="104"/>
      <c r="H76" s="104"/>
      <c r="I76" s="219">
        <v>30</v>
      </c>
      <c r="J76" s="219">
        <v>20</v>
      </c>
      <c r="K76" s="221" t="s">
        <v>516</v>
      </c>
      <c r="L76" s="220" t="s">
        <v>242</v>
      </c>
      <c r="M76" s="219"/>
      <c r="N76" s="219">
        <f t="shared" si="5"/>
        <v>0</v>
      </c>
      <c r="O76" s="219">
        <f t="shared" si="6"/>
        <v>20</v>
      </c>
    </row>
    <row r="77" spans="1:16" ht="16.5" x14ac:dyDescent="0.25">
      <c r="A77" s="702"/>
      <c r="B77" s="104" t="s">
        <v>583</v>
      </c>
      <c r="C77" s="702"/>
      <c r="D77" s="218" t="s">
        <v>19</v>
      </c>
      <c r="E77" s="218">
        <v>1.35</v>
      </c>
      <c r="F77" s="218"/>
      <c r="G77" s="218"/>
      <c r="H77" s="218"/>
      <c r="I77" s="219">
        <v>36</v>
      </c>
      <c r="J77" s="219">
        <v>19</v>
      </c>
      <c r="K77" s="221" t="s">
        <v>516</v>
      </c>
      <c r="L77" s="220" t="s">
        <v>584</v>
      </c>
      <c r="M77" s="219"/>
      <c r="N77" s="219"/>
      <c r="O77" s="219">
        <f t="shared" si="6"/>
        <v>19</v>
      </c>
    </row>
    <row r="78" spans="1:16" s="222" customFormat="1" ht="16.5" x14ac:dyDescent="0.25">
      <c r="A78" s="500" t="s">
        <v>74</v>
      </c>
      <c r="B78" s="383" t="s">
        <v>357</v>
      </c>
      <c r="C78" s="384"/>
      <c r="D78" s="384"/>
      <c r="E78" s="384"/>
      <c r="F78" s="384"/>
      <c r="G78" s="384"/>
      <c r="H78" s="384"/>
      <c r="I78" s="385">
        <f>SUM(I79:I81)</f>
        <v>480</v>
      </c>
      <c r="J78" s="385">
        <f t="shared" ref="J78:O78" si="7">SUM(J79:J81)</f>
        <v>252</v>
      </c>
      <c r="K78" s="385">
        <f t="shared" si="7"/>
        <v>0</v>
      </c>
      <c r="L78" s="385">
        <f t="shared" si="7"/>
        <v>0</v>
      </c>
      <c r="M78" s="512">
        <f t="shared" si="7"/>
        <v>250</v>
      </c>
      <c r="N78" s="512">
        <f t="shared" si="7"/>
        <v>150</v>
      </c>
      <c r="O78" s="512">
        <f t="shared" si="7"/>
        <v>0</v>
      </c>
      <c r="P78" s="57"/>
    </row>
    <row r="79" spans="1:16" ht="16.5" x14ac:dyDescent="0.25">
      <c r="A79" s="218">
        <v>1</v>
      </c>
      <c r="B79" s="104" t="s">
        <v>277</v>
      </c>
      <c r="C79" s="218"/>
      <c r="D79" s="218"/>
      <c r="E79" s="218" t="s">
        <v>238</v>
      </c>
      <c r="F79" s="104"/>
      <c r="G79" s="104"/>
      <c r="H79" s="104"/>
      <c r="I79" s="219">
        <v>200</v>
      </c>
      <c r="J79" s="219">
        <v>112</v>
      </c>
      <c r="K79" s="221" t="s">
        <v>262</v>
      </c>
      <c r="L79" s="220" t="s">
        <v>278</v>
      </c>
      <c r="M79" s="219">
        <v>110</v>
      </c>
      <c r="N79" s="219">
        <f>M79*0.6</f>
        <v>66</v>
      </c>
      <c r="O79" s="219"/>
    </row>
    <row r="80" spans="1:16" ht="16.5" x14ac:dyDescent="0.25">
      <c r="A80" s="218">
        <v>2</v>
      </c>
      <c r="B80" s="104" t="s">
        <v>279</v>
      </c>
      <c r="C80" s="218"/>
      <c r="D80" s="218"/>
      <c r="E80" s="218" t="s">
        <v>238</v>
      </c>
      <c r="F80" s="104"/>
      <c r="G80" s="104"/>
      <c r="H80" s="104"/>
      <c r="I80" s="219">
        <v>70</v>
      </c>
      <c r="J80" s="219">
        <v>40</v>
      </c>
      <c r="K80" s="221" t="s">
        <v>262</v>
      </c>
      <c r="L80" s="220" t="s">
        <v>280</v>
      </c>
      <c r="M80" s="219">
        <f t="shared" ref="M80:M81" si="8">J80</f>
        <v>40</v>
      </c>
      <c r="N80" s="219">
        <f t="shared" ref="N80:N81" si="9">M80*0.6</f>
        <v>24</v>
      </c>
      <c r="O80" s="219"/>
    </row>
    <row r="81" spans="1:15" ht="24.75" customHeight="1" x14ac:dyDescent="0.25">
      <c r="A81" s="218">
        <v>3</v>
      </c>
      <c r="B81" s="104" t="s">
        <v>281</v>
      </c>
      <c r="C81" s="218"/>
      <c r="D81" s="218"/>
      <c r="E81" s="218" t="s">
        <v>282</v>
      </c>
      <c r="F81" s="104"/>
      <c r="G81" s="104"/>
      <c r="H81" s="104"/>
      <c r="I81" s="219">
        <v>210</v>
      </c>
      <c r="J81" s="219">
        <v>100</v>
      </c>
      <c r="K81" s="221" t="s">
        <v>262</v>
      </c>
      <c r="L81" s="220" t="s">
        <v>283</v>
      </c>
      <c r="M81" s="219">
        <f t="shared" si="8"/>
        <v>100</v>
      </c>
      <c r="N81" s="219">
        <f t="shared" si="9"/>
        <v>60</v>
      </c>
      <c r="O81" s="219"/>
    </row>
    <row r="82" spans="1:15" s="222" customFormat="1" ht="18.75" x14ac:dyDescent="0.3">
      <c r="A82" s="223"/>
      <c r="B82" s="509"/>
      <c r="C82" s="223"/>
      <c r="D82" s="223"/>
      <c r="E82" s="223"/>
      <c r="F82" s="223"/>
      <c r="G82" s="223"/>
      <c r="H82" s="223"/>
      <c r="J82" s="224"/>
      <c r="K82" s="224"/>
      <c r="L82" s="225"/>
      <c r="M82" s="225"/>
      <c r="N82" s="225"/>
      <c r="O82" s="225"/>
    </row>
    <row r="83" spans="1:15" s="222" customFormat="1" ht="18.75" x14ac:dyDescent="0.3">
      <c r="A83" s="223"/>
      <c r="B83" s="509"/>
      <c r="C83" s="223"/>
      <c r="D83" s="223"/>
      <c r="E83" s="223"/>
      <c r="F83" s="223"/>
      <c r="G83" s="223"/>
      <c r="H83" s="223"/>
      <c r="J83" s="224"/>
      <c r="K83" s="224"/>
      <c r="L83" s="225"/>
      <c r="M83" s="225"/>
      <c r="N83" s="225"/>
      <c r="O83" s="225"/>
    </row>
    <row r="84" spans="1:15" s="222" customFormat="1" ht="18.75" x14ac:dyDescent="0.3">
      <c r="A84" s="223"/>
      <c r="B84" s="509"/>
      <c r="C84" s="223"/>
      <c r="D84" s="223"/>
      <c r="E84" s="223"/>
      <c r="F84" s="223"/>
      <c r="G84" s="223"/>
      <c r="H84" s="223"/>
      <c r="J84" s="226"/>
      <c r="K84" s="699"/>
      <c r="L84" s="699"/>
      <c r="M84" s="501"/>
      <c r="N84" s="501"/>
      <c r="O84" s="501"/>
    </row>
    <row r="85" spans="1:15" s="222" customFormat="1" ht="18.75" x14ac:dyDescent="0.3">
      <c r="A85" s="223"/>
      <c r="B85" s="509"/>
      <c r="C85" s="223"/>
      <c r="D85" s="223"/>
      <c r="E85" s="223"/>
      <c r="F85" s="223"/>
      <c r="G85" s="223"/>
      <c r="H85" s="223"/>
      <c r="J85" s="226"/>
      <c r="K85" s="226"/>
      <c r="L85" s="227"/>
      <c r="M85" s="227"/>
      <c r="N85" s="227"/>
      <c r="O85" s="227"/>
    </row>
    <row r="86" spans="1:15" s="222" customFormat="1" ht="18.75" x14ac:dyDescent="0.3">
      <c r="A86" s="223"/>
      <c r="B86" s="509"/>
      <c r="C86" s="223"/>
      <c r="D86" s="223"/>
      <c r="E86" s="223"/>
      <c r="F86" s="223"/>
      <c r="G86" s="223"/>
      <c r="H86" s="223"/>
      <c r="J86" s="226"/>
      <c r="K86" s="226"/>
      <c r="L86" s="227"/>
      <c r="M86" s="227"/>
      <c r="N86" s="227"/>
      <c r="O86" s="227"/>
    </row>
    <row r="87" spans="1:15" s="222" customFormat="1" ht="18.75" x14ac:dyDescent="0.3">
      <c r="A87" s="223"/>
      <c r="B87" s="509"/>
      <c r="C87" s="223"/>
      <c r="D87" s="223"/>
      <c r="E87" s="223"/>
      <c r="F87" s="223"/>
      <c r="G87" s="223"/>
      <c r="H87" s="223"/>
      <c r="J87" s="226"/>
      <c r="K87" s="226"/>
      <c r="L87" s="227"/>
      <c r="M87" s="227"/>
      <c r="N87" s="227"/>
      <c r="O87" s="227"/>
    </row>
    <row r="88" spans="1:15" s="224" customFormat="1" ht="18.75" x14ac:dyDescent="0.3">
      <c r="A88" s="704"/>
      <c r="B88" s="704"/>
      <c r="C88" s="502"/>
      <c r="D88" s="502"/>
      <c r="E88" s="502"/>
      <c r="F88" s="502"/>
      <c r="G88" s="502"/>
      <c r="H88" s="502"/>
      <c r="I88" s="228"/>
      <c r="J88" s="699"/>
      <c r="K88" s="699"/>
      <c r="L88" s="699"/>
      <c r="M88" s="501"/>
      <c r="N88" s="501"/>
      <c r="O88" s="501"/>
    </row>
    <row r="89" spans="1:15" ht="18.75" x14ac:dyDescent="0.3">
      <c r="J89" s="226"/>
      <c r="K89" s="226"/>
      <c r="L89" s="227"/>
      <c r="M89" s="227"/>
      <c r="N89" s="227"/>
      <c r="O89" s="227"/>
    </row>
    <row r="90" spans="1:15" ht="18.75" x14ac:dyDescent="0.3">
      <c r="J90" s="226"/>
      <c r="K90" s="699"/>
      <c r="L90" s="699"/>
      <c r="M90" s="501"/>
      <c r="N90" s="501"/>
      <c r="O90" s="501"/>
    </row>
  </sheetData>
  <mergeCells count="77">
    <mergeCell ref="A1:O1"/>
    <mergeCell ref="A3:O3"/>
    <mergeCell ref="A4:A6"/>
    <mergeCell ref="B4:B6"/>
    <mergeCell ref="C4:C6"/>
    <mergeCell ref="D4:D6"/>
    <mergeCell ref="E4:E6"/>
    <mergeCell ref="G4:H4"/>
    <mergeCell ref="I4:I6"/>
    <mergeCell ref="J4:K4"/>
    <mergeCell ref="L4:L6"/>
    <mergeCell ref="M4:O4"/>
    <mergeCell ref="J5:J6"/>
    <mergeCell ref="K5:K6"/>
    <mergeCell ref="M5:N5"/>
    <mergeCell ref="O5:O6"/>
    <mergeCell ref="A25:A27"/>
    <mergeCell ref="C25:C27"/>
    <mergeCell ref="A9:A12"/>
    <mergeCell ref="C9:C12"/>
    <mergeCell ref="D9:D12"/>
    <mergeCell ref="A13:A16"/>
    <mergeCell ref="C13:C16"/>
    <mergeCell ref="D13:D16"/>
    <mergeCell ref="A17:A22"/>
    <mergeCell ref="C17:C22"/>
    <mergeCell ref="D17:D22"/>
    <mergeCell ref="A23:A24"/>
    <mergeCell ref="C23:C24"/>
    <mergeCell ref="A44:A47"/>
    <mergeCell ref="C44:C47"/>
    <mergeCell ref="D44:D47"/>
    <mergeCell ref="A28:A30"/>
    <mergeCell ref="C28:C30"/>
    <mergeCell ref="A31:A32"/>
    <mergeCell ref="C31:C32"/>
    <mergeCell ref="A33:A36"/>
    <mergeCell ref="C33:C36"/>
    <mergeCell ref="A37:A39"/>
    <mergeCell ref="C37:C39"/>
    <mergeCell ref="A40:A43"/>
    <mergeCell ref="C40:C43"/>
    <mergeCell ref="D40:D43"/>
    <mergeCell ref="A48:A50"/>
    <mergeCell ref="C48:C50"/>
    <mergeCell ref="D48:D49"/>
    <mergeCell ref="A51:A53"/>
    <mergeCell ref="C51:C53"/>
    <mergeCell ref="D51:D53"/>
    <mergeCell ref="A54:A55"/>
    <mergeCell ref="C54:C55"/>
    <mergeCell ref="D54:D55"/>
    <mergeCell ref="A56:A57"/>
    <mergeCell ref="C56:C57"/>
    <mergeCell ref="D56:D57"/>
    <mergeCell ref="A60:A62"/>
    <mergeCell ref="C60:C62"/>
    <mergeCell ref="D60:D61"/>
    <mergeCell ref="A63:A65"/>
    <mergeCell ref="C63:C65"/>
    <mergeCell ref="D64:D65"/>
    <mergeCell ref="K90:L90"/>
    <mergeCell ref="A2:O2"/>
    <mergeCell ref="D72:D73"/>
    <mergeCell ref="A74:A77"/>
    <mergeCell ref="C74:C77"/>
    <mergeCell ref="K84:L84"/>
    <mergeCell ref="A88:B88"/>
    <mergeCell ref="J88:L88"/>
    <mergeCell ref="A66:A68"/>
    <mergeCell ref="C66:C68"/>
    <mergeCell ref="A69:A71"/>
    <mergeCell ref="C69:C71"/>
    <mergeCell ref="A72:A73"/>
    <mergeCell ref="C72:C73"/>
    <mergeCell ref="A58:A59"/>
    <mergeCell ref="C58:C59"/>
  </mergeCells>
  <pageMargins left="0.51181102362204722" right="0.31496062992125984" top="0.47244094488188981" bottom="0.51181102362204722" header="0.31496062992125984" footer="0.31496062992125984"/>
  <pageSetup paperSize="9" scale="68" fitToHeight="0" orientation="landscape" r:id="rId1"/>
  <headerFooter>
    <oddFooter>&amp;A&amp;RPage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0"/>
  <sheetViews>
    <sheetView topLeftCell="A2" zoomScale="96" zoomScaleNormal="96" workbookViewId="0">
      <pane ySplit="9" topLeftCell="A62" activePane="bottomLeft" state="frozen"/>
      <selection activeCell="A2" sqref="A2"/>
      <selection pane="bottomLeft" activeCell="P69" sqref="P69"/>
    </sheetView>
  </sheetViews>
  <sheetFormatPr defaultRowHeight="12.75" x14ac:dyDescent="0.2"/>
  <cols>
    <col min="1" max="1" width="5.140625" style="17" customWidth="1"/>
    <col min="2" max="2" width="36.85546875" style="17" customWidth="1"/>
    <col min="3" max="3" width="14.28515625" style="17" hidden="1" customWidth="1"/>
    <col min="4" max="4" width="5.85546875" style="113" hidden="1" customWidth="1"/>
    <col min="5" max="5" width="6" style="17" customWidth="1"/>
    <col min="6" max="6" width="12.5703125" style="17" customWidth="1"/>
    <col min="7" max="7" width="12.5703125" style="17" hidden="1" customWidth="1"/>
    <col min="8" max="13" width="10" style="16" hidden="1" customWidth="1"/>
    <col min="14" max="14" width="12.42578125" style="16" customWidth="1"/>
    <col min="15" max="15" width="13.140625" style="16" customWidth="1"/>
    <col min="16" max="18" width="10" style="16" customWidth="1"/>
    <col min="19" max="19" width="15.28515625" style="16" customWidth="1"/>
    <col min="20" max="21" width="10" style="16" customWidth="1"/>
    <col min="22" max="22" width="12.7109375" style="16" hidden="1" customWidth="1"/>
    <col min="23" max="23" width="12" style="114" customWidth="1"/>
    <col min="24" max="25" width="12.5703125" style="114" customWidth="1"/>
    <col min="26" max="26" width="20.140625" style="17" customWidth="1"/>
    <col min="27" max="27" width="10.42578125" style="17" bestFit="1" customWidth="1"/>
    <col min="28" max="28" width="14.140625" style="17" customWidth="1"/>
    <col min="29" max="252" width="9.140625" style="17"/>
    <col min="253" max="253" width="5.140625" style="17" customWidth="1"/>
    <col min="254" max="254" width="27.140625" style="17" customWidth="1"/>
    <col min="255" max="255" width="0" style="17" hidden="1" customWidth="1"/>
    <col min="256" max="256" width="5.85546875" style="17" customWidth="1"/>
    <col min="257" max="257" width="4.28515625" style="17" customWidth="1"/>
    <col min="258" max="258" width="12.5703125" style="17" customWidth="1"/>
    <col min="259" max="262" width="0" style="17" hidden="1" customWidth="1"/>
    <col min="263" max="263" width="10.140625" style="17" customWidth="1"/>
    <col min="264" max="264" width="11.7109375" style="17" customWidth="1"/>
    <col min="265" max="265" width="0" style="17" hidden="1" customWidth="1"/>
    <col min="266" max="266" width="8.5703125" style="17" customWidth="1"/>
    <col min="267" max="267" width="7.85546875" style="17" customWidth="1"/>
    <col min="268" max="268" width="9.5703125" style="17" customWidth="1"/>
    <col min="269" max="269" width="0" style="17" hidden="1" customWidth="1"/>
    <col min="270" max="270" width="8.140625" style="17" customWidth="1"/>
    <col min="271" max="271" width="9.5703125" style="17" customWidth="1"/>
    <col min="272" max="272" width="10.85546875" style="17" customWidth="1"/>
    <col min="273" max="279" width="10" style="17" customWidth="1"/>
    <col min="280" max="280" width="12" style="17" customWidth="1"/>
    <col min="281" max="281" width="12.5703125" style="17" customWidth="1"/>
    <col min="282" max="282" width="20.140625" style="17" customWidth="1"/>
    <col min="283" max="283" width="10.42578125" style="17" bestFit="1" customWidth="1"/>
    <col min="284" max="284" width="14.140625" style="17" customWidth="1"/>
    <col min="285" max="508" width="9.140625" style="17"/>
    <col min="509" max="509" width="5.140625" style="17" customWidth="1"/>
    <col min="510" max="510" width="27.140625" style="17" customWidth="1"/>
    <col min="511" max="511" width="0" style="17" hidden="1" customWidth="1"/>
    <col min="512" max="512" width="5.85546875" style="17" customWidth="1"/>
    <col min="513" max="513" width="4.28515625" style="17" customWidth="1"/>
    <col min="514" max="514" width="12.5703125" style="17" customWidth="1"/>
    <col min="515" max="518" width="0" style="17" hidden="1" customWidth="1"/>
    <col min="519" max="519" width="10.140625" style="17" customWidth="1"/>
    <col min="520" max="520" width="11.7109375" style="17" customWidth="1"/>
    <col min="521" max="521" width="0" style="17" hidden="1" customWidth="1"/>
    <col min="522" max="522" width="8.5703125" style="17" customWidth="1"/>
    <col min="523" max="523" width="7.85546875" style="17" customWidth="1"/>
    <col min="524" max="524" width="9.5703125" style="17" customWidth="1"/>
    <col min="525" max="525" width="0" style="17" hidden="1" customWidth="1"/>
    <col min="526" max="526" width="8.140625" style="17" customWidth="1"/>
    <col min="527" max="527" width="9.5703125" style="17" customWidth="1"/>
    <col min="528" max="528" width="10.85546875" style="17" customWidth="1"/>
    <col min="529" max="535" width="10" style="17" customWidth="1"/>
    <col min="536" max="536" width="12" style="17" customWidth="1"/>
    <col min="537" max="537" width="12.5703125" style="17" customWidth="1"/>
    <col min="538" max="538" width="20.140625" style="17" customWidth="1"/>
    <col min="539" max="539" width="10.42578125" style="17" bestFit="1" customWidth="1"/>
    <col min="540" max="540" width="14.140625" style="17" customWidth="1"/>
    <col min="541" max="764" width="9.140625" style="17"/>
    <col min="765" max="765" width="5.140625" style="17" customWidth="1"/>
    <col min="766" max="766" width="27.140625" style="17" customWidth="1"/>
    <col min="767" max="767" width="0" style="17" hidden="1" customWidth="1"/>
    <col min="768" max="768" width="5.85546875" style="17" customWidth="1"/>
    <col min="769" max="769" width="4.28515625" style="17" customWidth="1"/>
    <col min="770" max="770" width="12.5703125" style="17" customWidth="1"/>
    <col min="771" max="774" width="0" style="17" hidden="1" customWidth="1"/>
    <col min="775" max="775" width="10.140625" style="17" customWidth="1"/>
    <col min="776" max="776" width="11.7109375" style="17" customWidth="1"/>
    <col min="777" max="777" width="0" style="17" hidden="1" customWidth="1"/>
    <col min="778" max="778" width="8.5703125" style="17" customWidth="1"/>
    <col min="779" max="779" width="7.85546875" style="17" customWidth="1"/>
    <col min="780" max="780" width="9.5703125" style="17" customWidth="1"/>
    <col min="781" max="781" width="0" style="17" hidden="1" customWidth="1"/>
    <col min="782" max="782" width="8.140625" style="17" customWidth="1"/>
    <col min="783" max="783" width="9.5703125" style="17" customWidth="1"/>
    <col min="784" max="784" width="10.85546875" style="17" customWidth="1"/>
    <col min="785" max="791" width="10" style="17" customWidth="1"/>
    <col min="792" max="792" width="12" style="17" customWidth="1"/>
    <col min="793" max="793" width="12.5703125" style="17" customWidth="1"/>
    <col min="794" max="794" width="20.140625" style="17" customWidth="1"/>
    <col min="795" max="795" width="10.42578125" style="17" bestFit="1" customWidth="1"/>
    <col min="796" max="796" width="14.140625" style="17" customWidth="1"/>
    <col min="797" max="1020" width="9.140625" style="17"/>
    <col min="1021" max="1021" width="5.140625" style="17" customWidth="1"/>
    <col min="1022" max="1022" width="27.140625" style="17" customWidth="1"/>
    <col min="1023" max="1023" width="0" style="17" hidden="1" customWidth="1"/>
    <col min="1024" max="1024" width="5.85546875" style="17" customWidth="1"/>
    <col min="1025" max="1025" width="4.28515625" style="17" customWidth="1"/>
    <col min="1026" max="1026" width="12.5703125" style="17" customWidth="1"/>
    <col min="1027" max="1030" width="0" style="17" hidden="1" customWidth="1"/>
    <col min="1031" max="1031" width="10.140625" style="17" customWidth="1"/>
    <col min="1032" max="1032" width="11.7109375" style="17" customWidth="1"/>
    <col min="1033" max="1033" width="0" style="17" hidden="1" customWidth="1"/>
    <col min="1034" max="1034" width="8.5703125" style="17" customWidth="1"/>
    <col min="1035" max="1035" width="7.85546875" style="17" customWidth="1"/>
    <col min="1036" max="1036" width="9.5703125" style="17" customWidth="1"/>
    <col min="1037" max="1037" width="0" style="17" hidden="1" customWidth="1"/>
    <col min="1038" max="1038" width="8.140625" style="17" customWidth="1"/>
    <col min="1039" max="1039" width="9.5703125" style="17" customWidth="1"/>
    <col min="1040" max="1040" width="10.85546875" style="17" customWidth="1"/>
    <col min="1041" max="1047" width="10" style="17" customWidth="1"/>
    <col min="1048" max="1048" width="12" style="17" customWidth="1"/>
    <col min="1049" max="1049" width="12.5703125" style="17" customWidth="1"/>
    <col min="1050" max="1050" width="20.140625" style="17" customWidth="1"/>
    <col min="1051" max="1051" width="10.42578125" style="17" bestFit="1" customWidth="1"/>
    <col min="1052" max="1052" width="14.140625" style="17" customWidth="1"/>
    <col min="1053" max="1276" width="9.140625" style="17"/>
    <col min="1277" max="1277" width="5.140625" style="17" customWidth="1"/>
    <col min="1278" max="1278" width="27.140625" style="17" customWidth="1"/>
    <col min="1279" max="1279" width="0" style="17" hidden="1" customWidth="1"/>
    <col min="1280" max="1280" width="5.85546875" style="17" customWidth="1"/>
    <col min="1281" max="1281" width="4.28515625" style="17" customWidth="1"/>
    <col min="1282" max="1282" width="12.5703125" style="17" customWidth="1"/>
    <col min="1283" max="1286" width="0" style="17" hidden="1" customWidth="1"/>
    <col min="1287" max="1287" width="10.140625" style="17" customWidth="1"/>
    <col min="1288" max="1288" width="11.7109375" style="17" customWidth="1"/>
    <col min="1289" max="1289" width="0" style="17" hidden="1" customWidth="1"/>
    <col min="1290" max="1290" width="8.5703125" style="17" customWidth="1"/>
    <col min="1291" max="1291" width="7.85546875" style="17" customWidth="1"/>
    <col min="1292" max="1292" width="9.5703125" style="17" customWidth="1"/>
    <col min="1293" max="1293" width="0" style="17" hidden="1" customWidth="1"/>
    <col min="1294" max="1294" width="8.140625" style="17" customWidth="1"/>
    <col min="1295" max="1295" width="9.5703125" style="17" customWidth="1"/>
    <col min="1296" max="1296" width="10.85546875" style="17" customWidth="1"/>
    <col min="1297" max="1303" width="10" style="17" customWidth="1"/>
    <col min="1304" max="1304" width="12" style="17" customWidth="1"/>
    <col min="1305" max="1305" width="12.5703125" style="17" customWidth="1"/>
    <col min="1306" max="1306" width="20.140625" style="17" customWidth="1"/>
    <col min="1307" max="1307" width="10.42578125" style="17" bestFit="1" customWidth="1"/>
    <col min="1308" max="1308" width="14.140625" style="17" customWidth="1"/>
    <col min="1309" max="1532" width="9.140625" style="17"/>
    <col min="1533" max="1533" width="5.140625" style="17" customWidth="1"/>
    <col min="1534" max="1534" width="27.140625" style="17" customWidth="1"/>
    <col min="1535" max="1535" width="0" style="17" hidden="1" customWidth="1"/>
    <col min="1536" max="1536" width="5.85546875" style="17" customWidth="1"/>
    <col min="1537" max="1537" width="4.28515625" style="17" customWidth="1"/>
    <col min="1538" max="1538" width="12.5703125" style="17" customWidth="1"/>
    <col min="1539" max="1542" width="0" style="17" hidden="1" customWidth="1"/>
    <col min="1543" max="1543" width="10.140625" style="17" customWidth="1"/>
    <col min="1544" max="1544" width="11.7109375" style="17" customWidth="1"/>
    <col min="1545" max="1545" width="0" style="17" hidden="1" customWidth="1"/>
    <col min="1546" max="1546" width="8.5703125" style="17" customWidth="1"/>
    <col min="1547" max="1547" width="7.85546875" style="17" customWidth="1"/>
    <col min="1548" max="1548" width="9.5703125" style="17" customWidth="1"/>
    <col min="1549" max="1549" width="0" style="17" hidden="1" customWidth="1"/>
    <col min="1550" max="1550" width="8.140625" style="17" customWidth="1"/>
    <col min="1551" max="1551" width="9.5703125" style="17" customWidth="1"/>
    <col min="1552" max="1552" width="10.85546875" style="17" customWidth="1"/>
    <col min="1553" max="1559" width="10" style="17" customWidth="1"/>
    <col min="1560" max="1560" width="12" style="17" customWidth="1"/>
    <col min="1561" max="1561" width="12.5703125" style="17" customWidth="1"/>
    <col min="1562" max="1562" width="20.140625" style="17" customWidth="1"/>
    <col min="1563" max="1563" width="10.42578125" style="17" bestFit="1" customWidth="1"/>
    <col min="1564" max="1564" width="14.140625" style="17" customWidth="1"/>
    <col min="1565" max="1788" width="9.140625" style="17"/>
    <col min="1789" max="1789" width="5.140625" style="17" customWidth="1"/>
    <col min="1790" max="1790" width="27.140625" style="17" customWidth="1"/>
    <col min="1791" max="1791" width="0" style="17" hidden="1" customWidth="1"/>
    <col min="1792" max="1792" width="5.85546875" style="17" customWidth="1"/>
    <col min="1793" max="1793" width="4.28515625" style="17" customWidth="1"/>
    <col min="1794" max="1794" width="12.5703125" style="17" customWidth="1"/>
    <col min="1795" max="1798" width="0" style="17" hidden="1" customWidth="1"/>
    <col min="1799" max="1799" width="10.140625" style="17" customWidth="1"/>
    <col min="1800" max="1800" width="11.7109375" style="17" customWidth="1"/>
    <col min="1801" max="1801" width="0" style="17" hidden="1" customWidth="1"/>
    <col min="1802" max="1802" width="8.5703125" style="17" customWidth="1"/>
    <col min="1803" max="1803" width="7.85546875" style="17" customWidth="1"/>
    <col min="1804" max="1804" width="9.5703125" style="17" customWidth="1"/>
    <col min="1805" max="1805" width="0" style="17" hidden="1" customWidth="1"/>
    <col min="1806" max="1806" width="8.140625" style="17" customWidth="1"/>
    <col min="1807" max="1807" width="9.5703125" style="17" customWidth="1"/>
    <col min="1808" max="1808" width="10.85546875" style="17" customWidth="1"/>
    <col min="1809" max="1815" width="10" style="17" customWidth="1"/>
    <col min="1816" max="1816" width="12" style="17" customWidth="1"/>
    <col min="1817" max="1817" width="12.5703125" style="17" customWidth="1"/>
    <col min="1818" max="1818" width="20.140625" style="17" customWidth="1"/>
    <col min="1819" max="1819" width="10.42578125" style="17" bestFit="1" customWidth="1"/>
    <col min="1820" max="1820" width="14.140625" style="17" customWidth="1"/>
    <col min="1821" max="2044" width="9.140625" style="17"/>
    <col min="2045" max="2045" width="5.140625" style="17" customWidth="1"/>
    <col min="2046" max="2046" width="27.140625" style="17" customWidth="1"/>
    <col min="2047" max="2047" width="0" style="17" hidden="1" customWidth="1"/>
    <col min="2048" max="2048" width="5.85546875" style="17" customWidth="1"/>
    <col min="2049" max="2049" width="4.28515625" style="17" customWidth="1"/>
    <col min="2050" max="2050" width="12.5703125" style="17" customWidth="1"/>
    <col min="2051" max="2054" width="0" style="17" hidden="1" customWidth="1"/>
    <col min="2055" max="2055" width="10.140625" style="17" customWidth="1"/>
    <col min="2056" max="2056" width="11.7109375" style="17" customWidth="1"/>
    <col min="2057" max="2057" width="0" style="17" hidden="1" customWidth="1"/>
    <col min="2058" max="2058" width="8.5703125" style="17" customWidth="1"/>
    <col min="2059" max="2059" width="7.85546875" style="17" customWidth="1"/>
    <col min="2060" max="2060" width="9.5703125" style="17" customWidth="1"/>
    <col min="2061" max="2061" width="0" style="17" hidden="1" customWidth="1"/>
    <col min="2062" max="2062" width="8.140625" style="17" customWidth="1"/>
    <col min="2063" max="2063" width="9.5703125" style="17" customWidth="1"/>
    <col min="2064" max="2064" width="10.85546875" style="17" customWidth="1"/>
    <col min="2065" max="2071" width="10" style="17" customWidth="1"/>
    <col min="2072" max="2072" width="12" style="17" customWidth="1"/>
    <col min="2073" max="2073" width="12.5703125" style="17" customWidth="1"/>
    <col min="2074" max="2074" width="20.140625" style="17" customWidth="1"/>
    <col min="2075" max="2075" width="10.42578125" style="17" bestFit="1" customWidth="1"/>
    <col min="2076" max="2076" width="14.140625" style="17" customWidth="1"/>
    <col min="2077" max="2300" width="9.140625" style="17"/>
    <col min="2301" max="2301" width="5.140625" style="17" customWidth="1"/>
    <col min="2302" max="2302" width="27.140625" style="17" customWidth="1"/>
    <col min="2303" max="2303" width="0" style="17" hidden="1" customWidth="1"/>
    <col min="2304" max="2304" width="5.85546875" style="17" customWidth="1"/>
    <col min="2305" max="2305" width="4.28515625" style="17" customWidth="1"/>
    <col min="2306" max="2306" width="12.5703125" style="17" customWidth="1"/>
    <col min="2307" max="2310" width="0" style="17" hidden="1" customWidth="1"/>
    <col min="2311" max="2311" width="10.140625" style="17" customWidth="1"/>
    <col min="2312" max="2312" width="11.7109375" style="17" customWidth="1"/>
    <col min="2313" max="2313" width="0" style="17" hidden="1" customWidth="1"/>
    <col min="2314" max="2314" width="8.5703125" style="17" customWidth="1"/>
    <col min="2315" max="2315" width="7.85546875" style="17" customWidth="1"/>
    <col min="2316" max="2316" width="9.5703125" style="17" customWidth="1"/>
    <col min="2317" max="2317" width="0" style="17" hidden="1" customWidth="1"/>
    <col min="2318" max="2318" width="8.140625" style="17" customWidth="1"/>
    <col min="2319" max="2319" width="9.5703125" style="17" customWidth="1"/>
    <col min="2320" max="2320" width="10.85546875" style="17" customWidth="1"/>
    <col min="2321" max="2327" width="10" style="17" customWidth="1"/>
    <col min="2328" max="2328" width="12" style="17" customWidth="1"/>
    <col min="2329" max="2329" width="12.5703125" style="17" customWidth="1"/>
    <col min="2330" max="2330" width="20.140625" style="17" customWidth="1"/>
    <col min="2331" max="2331" width="10.42578125" style="17" bestFit="1" customWidth="1"/>
    <col min="2332" max="2332" width="14.140625" style="17" customWidth="1"/>
    <col min="2333" max="2556" width="9.140625" style="17"/>
    <col min="2557" max="2557" width="5.140625" style="17" customWidth="1"/>
    <col min="2558" max="2558" width="27.140625" style="17" customWidth="1"/>
    <col min="2559" max="2559" width="0" style="17" hidden="1" customWidth="1"/>
    <col min="2560" max="2560" width="5.85546875" style="17" customWidth="1"/>
    <col min="2561" max="2561" width="4.28515625" style="17" customWidth="1"/>
    <col min="2562" max="2562" width="12.5703125" style="17" customWidth="1"/>
    <col min="2563" max="2566" width="0" style="17" hidden="1" customWidth="1"/>
    <col min="2567" max="2567" width="10.140625" style="17" customWidth="1"/>
    <col min="2568" max="2568" width="11.7109375" style="17" customWidth="1"/>
    <col min="2569" max="2569" width="0" style="17" hidden="1" customWidth="1"/>
    <col min="2570" max="2570" width="8.5703125" style="17" customWidth="1"/>
    <col min="2571" max="2571" width="7.85546875" style="17" customWidth="1"/>
    <col min="2572" max="2572" width="9.5703125" style="17" customWidth="1"/>
    <col min="2573" max="2573" width="0" style="17" hidden="1" customWidth="1"/>
    <col min="2574" max="2574" width="8.140625" style="17" customWidth="1"/>
    <col min="2575" max="2575" width="9.5703125" style="17" customWidth="1"/>
    <col min="2576" max="2576" width="10.85546875" style="17" customWidth="1"/>
    <col min="2577" max="2583" width="10" style="17" customWidth="1"/>
    <col min="2584" max="2584" width="12" style="17" customWidth="1"/>
    <col min="2585" max="2585" width="12.5703125" style="17" customWidth="1"/>
    <col min="2586" max="2586" width="20.140625" style="17" customWidth="1"/>
    <col min="2587" max="2587" width="10.42578125" style="17" bestFit="1" customWidth="1"/>
    <col min="2588" max="2588" width="14.140625" style="17" customWidth="1"/>
    <col min="2589" max="2812" width="9.140625" style="17"/>
    <col min="2813" max="2813" width="5.140625" style="17" customWidth="1"/>
    <col min="2814" max="2814" width="27.140625" style="17" customWidth="1"/>
    <col min="2815" max="2815" width="0" style="17" hidden="1" customWidth="1"/>
    <col min="2816" max="2816" width="5.85546875" style="17" customWidth="1"/>
    <col min="2817" max="2817" width="4.28515625" style="17" customWidth="1"/>
    <col min="2818" max="2818" width="12.5703125" style="17" customWidth="1"/>
    <col min="2819" max="2822" width="0" style="17" hidden="1" customWidth="1"/>
    <col min="2823" max="2823" width="10.140625" style="17" customWidth="1"/>
    <col min="2824" max="2824" width="11.7109375" style="17" customWidth="1"/>
    <col min="2825" max="2825" width="0" style="17" hidden="1" customWidth="1"/>
    <col min="2826" max="2826" width="8.5703125" style="17" customWidth="1"/>
    <col min="2827" max="2827" width="7.85546875" style="17" customWidth="1"/>
    <col min="2828" max="2828" width="9.5703125" style="17" customWidth="1"/>
    <col min="2829" max="2829" width="0" style="17" hidden="1" customWidth="1"/>
    <col min="2830" max="2830" width="8.140625" style="17" customWidth="1"/>
    <col min="2831" max="2831" width="9.5703125" style="17" customWidth="1"/>
    <col min="2832" max="2832" width="10.85546875" style="17" customWidth="1"/>
    <col min="2833" max="2839" width="10" style="17" customWidth="1"/>
    <col min="2840" max="2840" width="12" style="17" customWidth="1"/>
    <col min="2841" max="2841" width="12.5703125" style="17" customWidth="1"/>
    <col min="2842" max="2842" width="20.140625" style="17" customWidth="1"/>
    <col min="2843" max="2843" width="10.42578125" style="17" bestFit="1" customWidth="1"/>
    <col min="2844" max="2844" width="14.140625" style="17" customWidth="1"/>
    <col min="2845" max="3068" width="9.140625" style="17"/>
    <col min="3069" max="3069" width="5.140625" style="17" customWidth="1"/>
    <col min="3070" max="3070" width="27.140625" style="17" customWidth="1"/>
    <col min="3071" max="3071" width="0" style="17" hidden="1" customWidth="1"/>
    <col min="3072" max="3072" width="5.85546875" style="17" customWidth="1"/>
    <col min="3073" max="3073" width="4.28515625" style="17" customWidth="1"/>
    <col min="3074" max="3074" width="12.5703125" style="17" customWidth="1"/>
    <col min="3075" max="3078" width="0" style="17" hidden="1" customWidth="1"/>
    <col min="3079" max="3079" width="10.140625" style="17" customWidth="1"/>
    <col min="3080" max="3080" width="11.7109375" style="17" customWidth="1"/>
    <col min="3081" max="3081" width="0" style="17" hidden="1" customWidth="1"/>
    <col min="3082" max="3082" width="8.5703125" style="17" customWidth="1"/>
    <col min="3083" max="3083" width="7.85546875" style="17" customWidth="1"/>
    <col min="3084" max="3084" width="9.5703125" style="17" customWidth="1"/>
    <col min="3085" max="3085" width="0" style="17" hidden="1" customWidth="1"/>
    <col min="3086" max="3086" width="8.140625" style="17" customWidth="1"/>
    <col min="3087" max="3087" width="9.5703125" style="17" customWidth="1"/>
    <col min="3088" max="3088" width="10.85546875" style="17" customWidth="1"/>
    <col min="3089" max="3095" width="10" style="17" customWidth="1"/>
    <col min="3096" max="3096" width="12" style="17" customWidth="1"/>
    <col min="3097" max="3097" width="12.5703125" style="17" customWidth="1"/>
    <col min="3098" max="3098" width="20.140625" style="17" customWidth="1"/>
    <col min="3099" max="3099" width="10.42578125" style="17" bestFit="1" customWidth="1"/>
    <col min="3100" max="3100" width="14.140625" style="17" customWidth="1"/>
    <col min="3101" max="3324" width="9.140625" style="17"/>
    <col min="3325" max="3325" width="5.140625" style="17" customWidth="1"/>
    <col min="3326" max="3326" width="27.140625" style="17" customWidth="1"/>
    <col min="3327" max="3327" width="0" style="17" hidden="1" customWidth="1"/>
    <col min="3328" max="3328" width="5.85546875" style="17" customWidth="1"/>
    <col min="3329" max="3329" width="4.28515625" style="17" customWidth="1"/>
    <col min="3330" max="3330" width="12.5703125" style="17" customWidth="1"/>
    <col min="3331" max="3334" width="0" style="17" hidden="1" customWidth="1"/>
    <col min="3335" max="3335" width="10.140625" style="17" customWidth="1"/>
    <col min="3336" max="3336" width="11.7109375" style="17" customWidth="1"/>
    <col min="3337" max="3337" width="0" style="17" hidden="1" customWidth="1"/>
    <col min="3338" max="3338" width="8.5703125" style="17" customWidth="1"/>
    <col min="3339" max="3339" width="7.85546875" style="17" customWidth="1"/>
    <col min="3340" max="3340" width="9.5703125" style="17" customWidth="1"/>
    <col min="3341" max="3341" width="0" style="17" hidden="1" customWidth="1"/>
    <col min="3342" max="3342" width="8.140625" style="17" customWidth="1"/>
    <col min="3343" max="3343" width="9.5703125" style="17" customWidth="1"/>
    <col min="3344" max="3344" width="10.85546875" style="17" customWidth="1"/>
    <col min="3345" max="3351" width="10" style="17" customWidth="1"/>
    <col min="3352" max="3352" width="12" style="17" customWidth="1"/>
    <col min="3353" max="3353" width="12.5703125" style="17" customWidth="1"/>
    <col min="3354" max="3354" width="20.140625" style="17" customWidth="1"/>
    <col min="3355" max="3355" width="10.42578125" style="17" bestFit="1" customWidth="1"/>
    <col min="3356" max="3356" width="14.140625" style="17" customWidth="1"/>
    <col min="3357" max="3580" width="9.140625" style="17"/>
    <col min="3581" max="3581" width="5.140625" style="17" customWidth="1"/>
    <col min="3582" max="3582" width="27.140625" style="17" customWidth="1"/>
    <col min="3583" max="3583" width="0" style="17" hidden="1" customWidth="1"/>
    <col min="3584" max="3584" width="5.85546875" style="17" customWidth="1"/>
    <col min="3585" max="3585" width="4.28515625" style="17" customWidth="1"/>
    <col min="3586" max="3586" width="12.5703125" style="17" customWidth="1"/>
    <col min="3587" max="3590" width="0" style="17" hidden="1" customWidth="1"/>
    <col min="3591" max="3591" width="10.140625" style="17" customWidth="1"/>
    <col min="3592" max="3592" width="11.7109375" style="17" customWidth="1"/>
    <col min="3593" max="3593" width="0" style="17" hidden="1" customWidth="1"/>
    <col min="3594" max="3594" width="8.5703125" style="17" customWidth="1"/>
    <col min="3595" max="3595" width="7.85546875" style="17" customWidth="1"/>
    <col min="3596" max="3596" width="9.5703125" style="17" customWidth="1"/>
    <col min="3597" max="3597" width="0" style="17" hidden="1" customWidth="1"/>
    <col min="3598" max="3598" width="8.140625" style="17" customWidth="1"/>
    <col min="3599" max="3599" width="9.5703125" style="17" customWidth="1"/>
    <col min="3600" max="3600" width="10.85546875" style="17" customWidth="1"/>
    <col min="3601" max="3607" width="10" style="17" customWidth="1"/>
    <col min="3608" max="3608" width="12" style="17" customWidth="1"/>
    <col min="3609" max="3609" width="12.5703125" style="17" customWidth="1"/>
    <col min="3610" max="3610" width="20.140625" style="17" customWidth="1"/>
    <col min="3611" max="3611" width="10.42578125" style="17" bestFit="1" customWidth="1"/>
    <col min="3612" max="3612" width="14.140625" style="17" customWidth="1"/>
    <col min="3613" max="3836" width="9.140625" style="17"/>
    <col min="3837" max="3837" width="5.140625" style="17" customWidth="1"/>
    <col min="3838" max="3838" width="27.140625" style="17" customWidth="1"/>
    <col min="3839" max="3839" width="0" style="17" hidden="1" customWidth="1"/>
    <col min="3840" max="3840" width="5.85546875" style="17" customWidth="1"/>
    <col min="3841" max="3841" width="4.28515625" style="17" customWidth="1"/>
    <col min="3842" max="3842" width="12.5703125" style="17" customWidth="1"/>
    <col min="3843" max="3846" width="0" style="17" hidden="1" customWidth="1"/>
    <col min="3847" max="3847" width="10.140625" style="17" customWidth="1"/>
    <col min="3848" max="3848" width="11.7109375" style="17" customWidth="1"/>
    <col min="3849" max="3849" width="0" style="17" hidden="1" customWidth="1"/>
    <col min="3850" max="3850" width="8.5703125" style="17" customWidth="1"/>
    <col min="3851" max="3851" width="7.85546875" style="17" customWidth="1"/>
    <col min="3852" max="3852" width="9.5703125" style="17" customWidth="1"/>
    <col min="3853" max="3853" width="0" style="17" hidden="1" customWidth="1"/>
    <col min="3854" max="3854" width="8.140625" style="17" customWidth="1"/>
    <col min="3855" max="3855" width="9.5703125" style="17" customWidth="1"/>
    <col min="3856" max="3856" width="10.85546875" style="17" customWidth="1"/>
    <col min="3857" max="3863" width="10" style="17" customWidth="1"/>
    <col min="3864" max="3864" width="12" style="17" customWidth="1"/>
    <col min="3865" max="3865" width="12.5703125" style="17" customWidth="1"/>
    <col min="3866" max="3866" width="20.140625" style="17" customWidth="1"/>
    <col min="3867" max="3867" width="10.42578125" style="17" bestFit="1" customWidth="1"/>
    <col min="3868" max="3868" width="14.140625" style="17" customWidth="1"/>
    <col min="3869" max="4092" width="9.140625" style="17"/>
    <col min="4093" max="4093" width="5.140625" style="17" customWidth="1"/>
    <col min="4094" max="4094" width="27.140625" style="17" customWidth="1"/>
    <col min="4095" max="4095" width="0" style="17" hidden="1" customWidth="1"/>
    <col min="4096" max="4096" width="5.85546875" style="17" customWidth="1"/>
    <col min="4097" max="4097" width="4.28515625" style="17" customWidth="1"/>
    <col min="4098" max="4098" width="12.5703125" style="17" customWidth="1"/>
    <col min="4099" max="4102" width="0" style="17" hidden="1" customWidth="1"/>
    <col min="4103" max="4103" width="10.140625" style="17" customWidth="1"/>
    <col min="4104" max="4104" width="11.7109375" style="17" customWidth="1"/>
    <col min="4105" max="4105" width="0" style="17" hidden="1" customWidth="1"/>
    <col min="4106" max="4106" width="8.5703125" style="17" customWidth="1"/>
    <col min="4107" max="4107" width="7.85546875" style="17" customWidth="1"/>
    <col min="4108" max="4108" width="9.5703125" style="17" customWidth="1"/>
    <col min="4109" max="4109" width="0" style="17" hidden="1" customWidth="1"/>
    <col min="4110" max="4110" width="8.140625" style="17" customWidth="1"/>
    <col min="4111" max="4111" width="9.5703125" style="17" customWidth="1"/>
    <col min="4112" max="4112" width="10.85546875" style="17" customWidth="1"/>
    <col min="4113" max="4119" width="10" style="17" customWidth="1"/>
    <col min="4120" max="4120" width="12" style="17" customWidth="1"/>
    <col min="4121" max="4121" width="12.5703125" style="17" customWidth="1"/>
    <col min="4122" max="4122" width="20.140625" style="17" customWidth="1"/>
    <col min="4123" max="4123" width="10.42578125" style="17" bestFit="1" customWidth="1"/>
    <col min="4124" max="4124" width="14.140625" style="17" customWidth="1"/>
    <col min="4125" max="4348" width="9.140625" style="17"/>
    <col min="4349" max="4349" width="5.140625" style="17" customWidth="1"/>
    <col min="4350" max="4350" width="27.140625" style="17" customWidth="1"/>
    <col min="4351" max="4351" width="0" style="17" hidden="1" customWidth="1"/>
    <col min="4352" max="4352" width="5.85546875" style="17" customWidth="1"/>
    <col min="4353" max="4353" width="4.28515625" style="17" customWidth="1"/>
    <col min="4354" max="4354" width="12.5703125" style="17" customWidth="1"/>
    <col min="4355" max="4358" width="0" style="17" hidden="1" customWidth="1"/>
    <col min="4359" max="4359" width="10.140625" style="17" customWidth="1"/>
    <col min="4360" max="4360" width="11.7109375" style="17" customWidth="1"/>
    <col min="4361" max="4361" width="0" style="17" hidden="1" customWidth="1"/>
    <col min="4362" max="4362" width="8.5703125" style="17" customWidth="1"/>
    <col min="4363" max="4363" width="7.85546875" style="17" customWidth="1"/>
    <col min="4364" max="4364" width="9.5703125" style="17" customWidth="1"/>
    <col min="4365" max="4365" width="0" style="17" hidden="1" customWidth="1"/>
    <col min="4366" max="4366" width="8.140625" style="17" customWidth="1"/>
    <col min="4367" max="4367" width="9.5703125" style="17" customWidth="1"/>
    <col min="4368" max="4368" width="10.85546875" style="17" customWidth="1"/>
    <col min="4369" max="4375" width="10" style="17" customWidth="1"/>
    <col min="4376" max="4376" width="12" style="17" customWidth="1"/>
    <col min="4377" max="4377" width="12.5703125" style="17" customWidth="1"/>
    <col min="4378" max="4378" width="20.140625" style="17" customWidth="1"/>
    <col min="4379" max="4379" width="10.42578125" style="17" bestFit="1" customWidth="1"/>
    <col min="4380" max="4380" width="14.140625" style="17" customWidth="1"/>
    <col min="4381" max="4604" width="9.140625" style="17"/>
    <col min="4605" max="4605" width="5.140625" style="17" customWidth="1"/>
    <col min="4606" max="4606" width="27.140625" style="17" customWidth="1"/>
    <col min="4607" max="4607" width="0" style="17" hidden="1" customWidth="1"/>
    <col min="4608" max="4608" width="5.85546875" style="17" customWidth="1"/>
    <col min="4609" max="4609" width="4.28515625" style="17" customWidth="1"/>
    <col min="4610" max="4610" width="12.5703125" style="17" customWidth="1"/>
    <col min="4611" max="4614" width="0" style="17" hidden="1" customWidth="1"/>
    <col min="4615" max="4615" width="10.140625" style="17" customWidth="1"/>
    <col min="4616" max="4616" width="11.7109375" style="17" customWidth="1"/>
    <col min="4617" max="4617" width="0" style="17" hidden="1" customWidth="1"/>
    <col min="4618" max="4618" width="8.5703125" style="17" customWidth="1"/>
    <col min="4619" max="4619" width="7.85546875" style="17" customWidth="1"/>
    <col min="4620" max="4620" width="9.5703125" style="17" customWidth="1"/>
    <col min="4621" max="4621" width="0" style="17" hidden="1" customWidth="1"/>
    <col min="4622" max="4622" width="8.140625" style="17" customWidth="1"/>
    <col min="4623" max="4623" width="9.5703125" style="17" customWidth="1"/>
    <col min="4624" max="4624" width="10.85546875" style="17" customWidth="1"/>
    <col min="4625" max="4631" width="10" style="17" customWidth="1"/>
    <col min="4632" max="4632" width="12" style="17" customWidth="1"/>
    <col min="4633" max="4633" width="12.5703125" style="17" customWidth="1"/>
    <col min="4634" max="4634" width="20.140625" style="17" customWidth="1"/>
    <col min="4635" max="4635" width="10.42578125" style="17" bestFit="1" customWidth="1"/>
    <col min="4636" max="4636" width="14.140625" style="17" customWidth="1"/>
    <col min="4637" max="4860" width="9.140625" style="17"/>
    <col min="4861" max="4861" width="5.140625" style="17" customWidth="1"/>
    <col min="4862" max="4862" width="27.140625" style="17" customWidth="1"/>
    <col min="4863" max="4863" width="0" style="17" hidden="1" customWidth="1"/>
    <col min="4864" max="4864" width="5.85546875" style="17" customWidth="1"/>
    <col min="4865" max="4865" width="4.28515625" style="17" customWidth="1"/>
    <col min="4866" max="4866" width="12.5703125" style="17" customWidth="1"/>
    <col min="4867" max="4870" width="0" style="17" hidden="1" customWidth="1"/>
    <col min="4871" max="4871" width="10.140625" style="17" customWidth="1"/>
    <col min="4872" max="4872" width="11.7109375" style="17" customWidth="1"/>
    <col min="4873" max="4873" width="0" style="17" hidden="1" customWidth="1"/>
    <col min="4874" max="4874" width="8.5703125" style="17" customWidth="1"/>
    <col min="4875" max="4875" width="7.85546875" style="17" customWidth="1"/>
    <col min="4876" max="4876" width="9.5703125" style="17" customWidth="1"/>
    <col min="4877" max="4877" width="0" style="17" hidden="1" customWidth="1"/>
    <col min="4878" max="4878" width="8.140625" style="17" customWidth="1"/>
    <col min="4879" max="4879" width="9.5703125" style="17" customWidth="1"/>
    <col min="4880" max="4880" width="10.85546875" style="17" customWidth="1"/>
    <col min="4881" max="4887" width="10" style="17" customWidth="1"/>
    <col min="4888" max="4888" width="12" style="17" customWidth="1"/>
    <col min="4889" max="4889" width="12.5703125" style="17" customWidth="1"/>
    <col min="4890" max="4890" width="20.140625" style="17" customWidth="1"/>
    <col min="4891" max="4891" width="10.42578125" style="17" bestFit="1" customWidth="1"/>
    <col min="4892" max="4892" width="14.140625" style="17" customWidth="1"/>
    <col min="4893" max="5116" width="9.140625" style="17"/>
    <col min="5117" max="5117" width="5.140625" style="17" customWidth="1"/>
    <col min="5118" max="5118" width="27.140625" style="17" customWidth="1"/>
    <col min="5119" max="5119" width="0" style="17" hidden="1" customWidth="1"/>
    <col min="5120" max="5120" width="5.85546875" style="17" customWidth="1"/>
    <col min="5121" max="5121" width="4.28515625" style="17" customWidth="1"/>
    <col min="5122" max="5122" width="12.5703125" style="17" customWidth="1"/>
    <col min="5123" max="5126" width="0" style="17" hidden="1" customWidth="1"/>
    <col min="5127" max="5127" width="10.140625" style="17" customWidth="1"/>
    <col min="5128" max="5128" width="11.7109375" style="17" customWidth="1"/>
    <col min="5129" max="5129" width="0" style="17" hidden="1" customWidth="1"/>
    <col min="5130" max="5130" width="8.5703125" style="17" customWidth="1"/>
    <col min="5131" max="5131" width="7.85546875" style="17" customWidth="1"/>
    <col min="5132" max="5132" width="9.5703125" style="17" customWidth="1"/>
    <col min="5133" max="5133" width="0" style="17" hidden="1" customWidth="1"/>
    <col min="5134" max="5134" width="8.140625" style="17" customWidth="1"/>
    <col min="5135" max="5135" width="9.5703125" style="17" customWidth="1"/>
    <col min="5136" max="5136" width="10.85546875" style="17" customWidth="1"/>
    <col min="5137" max="5143" width="10" style="17" customWidth="1"/>
    <col min="5144" max="5144" width="12" style="17" customWidth="1"/>
    <col min="5145" max="5145" width="12.5703125" style="17" customWidth="1"/>
    <col min="5146" max="5146" width="20.140625" style="17" customWidth="1"/>
    <col min="5147" max="5147" width="10.42578125" style="17" bestFit="1" customWidth="1"/>
    <col min="5148" max="5148" width="14.140625" style="17" customWidth="1"/>
    <col min="5149" max="5372" width="9.140625" style="17"/>
    <col min="5373" max="5373" width="5.140625" style="17" customWidth="1"/>
    <col min="5374" max="5374" width="27.140625" style="17" customWidth="1"/>
    <col min="5375" max="5375" width="0" style="17" hidden="1" customWidth="1"/>
    <col min="5376" max="5376" width="5.85546875" style="17" customWidth="1"/>
    <col min="5377" max="5377" width="4.28515625" style="17" customWidth="1"/>
    <col min="5378" max="5378" width="12.5703125" style="17" customWidth="1"/>
    <col min="5379" max="5382" width="0" style="17" hidden="1" customWidth="1"/>
    <col min="5383" max="5383" width="10.140625" style="17" customWidth="1"/>
    <col min="5384" max="5384" width="11.7109375" style="17" customWidth="1"/>
    <col min="5385" max="5385" width="0" style="17" hidden="1" customWidth="1"/>
    <col min="5386" max="5386" width="8.5703125" style="17" customWidth="1"/>
    <col min="5387" max="5387" width="7.85546875" style="17" customWidth="1"/>
    <col min="5388" max="5388" width="9.5703125" style="17" customWidth="1"/>
    <col min="5389" max="5389" width="0" style="17" hidden="1" customWidth="1"/>
    <col min="5390" max="5390" width="8.140625" style="17" customWidth="1"/>
    <col min="5391" max="5391" width="9.5703125" style="17" customWidth="1"/>
    <col min="5392" max="5392" width="10.85546875" style="17" customWidth="1"/>
    <col min="5393" max="5399" width="10" style="17" customWidth="1"/>
    <col min="5400" max="5400" width="12" style="17" customWidth="1"/>
    <col min="5401" max="5401" width="12.5703125" style="17" customWidth="1"/>
    <col min="5402" max="5402" width="20.140625" style="17" customWidth="1"/>
    <col min="5403" max="5403" width="10.42578125" style="17" bestFit="1" customWidth="1"/>
    <col min="5404" max="5404" width="14.140625" style="17" customWidth="1"/>
    <col min="5405" max="5628" width="9.140625" style="17"/>
    <col min="5629" max="5629" width="5.140625" style="17" customWidth="1"/>
    <col min="5630" max="5630" width="27.140625" style="17" customWidth="1"/>
    <col min="5631" max="5631" width="0" style="17" hidden="1" customWidth="1"/>
    <col min="5632" max="5632" width="5.85546875" style="17" customWidth="1"/>
    <col min="5633" max="5633" width="4.28515625" style="17" customWidth="1"/>
    <col min="5634" max="5634" width="12.5703125" style="17" customWidth="1"/>
    <col min="5635" max="5638" width="0" style="17" hidden="1" customWidth="1"/>
    <col min="5639" max="5639" width="10.140625" style="17" customWidth="1"/>
    <col min="5640" max="5640" width="11.7109375" style="17" customWidth="1"/>
    <col min="5641" max="5641" width="0" style="17" hidden="1" customWidth="1"/>
    <col min="5642" max="5642" width="8.5703125" style="17" customWidth="1"/>
    <col min="5643" max="5643" width="7.85546875" style="17" customWidth="1"/>
    <col min="5644" max="5644" width="9.5703125" style="17" customWidth="1"/>
    <col min="5645" max="5645" width="0" style="17" hidden="1" customWidth="1"/>
    <col min="5646" max="5646" width="8.140625" style="17" customWidth="1"/>
    <col min="5647" max="5647" width="9.5703125" style="17" customWidth="1"/>
    <col min="5648" max="5648" width="10.85546875" style="17" customWidth="1"/>
    <col min="5649" max="5655" width="10" style="17" customWidth="1"/>
    <col min="5656" max="5656" width="12" style="17" customWidth="1"/>
    <col min="5657" max="5657" width="12.5703125" style="17" customWidth="1"/>
    <col min="5658" max="5658" width="20.140625" style="17" customWidth="1"/>
    <col min="5659" max="5659" width="10.42578125" style="17" bestFit="1" customWidth="1"/>
    <col min="5660" max="5660" width="14.140625" style="17" customWidth="1"/>
    <col min="5661" max="5884" width="9.140625" style="17"/>
    <col min="5885" max="5885" width="5.140625" style="17" customWidth="1"/>
    <col min="5886" max="5886" width="27.140625" style="17" customWidth="1"/>
    <col min="5887" max="5887" width="0" style="17" hidden="1" customWidth="1"/>
    <col min="5888" max="5888" width="5.85546875" style="17" customWidth="1"/>
    <col min="5889" max="5889" width="4.28515625" style="17" customWidth="1"/>
    <col min="5890" max="5890" width="12.5703125" style="17" customWidth="1"/>
    <col min="5891" max="5894" width="0" style="17" hidden="1" customWidth="1"/>
    <col min="5895" max="5895" width="10.140625" style="17" customWidth="1"/>
    <col min="5896" max="5896" width="11.7109375" style="17" customWidth="1"/>
    <col min="5897" max="5897" width="0" style="17" hidden="1" customWidth="1"/>
    <col min="5898" max="5898" width="8.5703125" style="17" customWidth="1"/>
    <col min="5899" max="5899" width="7.85546875" style="17" customWidth="1"/>
    <col min="5900" max="5900" width="9.5703125" style="17" customWidth="1"/>
    <col min="5901" max="5901" width="0" style="17" hidden="1" customWidth="1"/>
    <col min="5902" max="5902" width="8.140625" style="17" customWidth="1"/>
    <col min="5903" max="5903" width="9.5703125" style="17" customWidth="1"/>
    <col min="5904" max="5904" width="10.85546875" style="17" customWidth="1"/>
    <col min="5905" max="5911" width="10" style="17" customWidth="1"/>
    <col min="5912" max="5912" width="12" style="17" customWidth="1"/>
    <col min="5913" max="5913" width="12.5703125" style="17" customWidth="1"/>
    <col min="5914" max="5914" width="20.140625" style="17" customWidth="1"/>
    <col min="5915" max="5915" width="10.42578125" style="17" bestFit="1" customWidth="1"/>
    <col min="5916" max="5916" width="14.140625" style="17" customWidth="1"/>
    <col min="5917" max="6140" width="9.140625" style="17"/>
    <col min="6141" max="6141" width="5.140625" style="17" customWidth="1"/>
    <col min="6142" max="6142" width="27.140625" style="17" customWidth="1"/>
    <col min="6143" max="6143" width="0" style="17" hidden="1" customWidth="1"/>
    <col min="6144" max="6144" width="5.85546875" style="17" customWidth="1"/>
    <col min="6145" max="6145" width="4.28515625" style="17" customWidth="1"/>
    <col min="6146" max="6146" width="12.5703125" style="17" customWidth="1"/>
    <col min="6147" max="6150" width="0" style="17" hidden="1" customWidth="1"/>
    <col min="6151" max="6151" width="10.140625" style="17" customWidth="1"/>
    <col min="6152" max="6152" width="11.7109375" style="17" customWidth="1"/>
    <col min="6153" max="6153" width="0" style="17" hidden="1" customWidth="1"/>
    <col min="6154" max="6154" width="8.5703125" style="17" customWidth="1"/>
    <col min="6155" max="6155" width="7.85546875" style="17" customWidth="1"/>
    <col min="6156" max="6156" width="9.5703125" style="17" customWidth="1"/>
    <col min="6157" max="6157" width="0" style="17" hidden="1" customWidth="1"/>
    <col min="6158" max="6158" width="8.140625" style="17" customWidth="1"/>
    <col min="6159" max="6159" width="9.5703125" style="17" customWidth="1"/>
    <col min="6160" max="6160" width="10.85546875" style="17" customWidth="1"/>
    <col min="6161" max="6167" width="10" style="17" customWidth="1"/>
    <col min="6168" max="6168" width="12" style="17" customWidth="1"/>
    <col min="6169" max="6169" width="12.5703125" style="17" customWidth="1"/>
    <col min="6170" max="6170" width="20.140625" style="17" customWidth="1"/>
    <col min="6171" max="6171" width="10.42578125" style="17" bestFit="1" customWidth="1"/>
    <col min="6172" max="6172" width="14.140625" style="17" customWidth="1"/>
    <col min="6173" max="6396" width="9.140625" style="17"/>
    <col min="6397" max="6397" width="5.140625" style="17" customWidth="1"/>
    <col min="6398" max="6398" width="27.140625" style="17" customWidth="1"/>
    <col min="6399" max="6399" width="0" style="17" hidden="1" customWidth="1"/>
    <col min="6400" max="6400" width="5.85546875" style="17" customWidth="1"/>
    <col min="6401" max="6401" width="4.28515625" style="17" customWidth="1"/>
    <col min="6402" max="6402" width="12.5703125" style="17" customWidth="1"/>
    <col min="6403" max="6406" width="0" style="17" hidden="1" customWidth="1"/>
    <col min="6407" max="6407" width="10.140625" style="17" customWidth="1"/>
    <col min="6408" max="6408" width="11.7109375" style="17" customWidth="1"/>
    <col min="6409" max="6409" width="0" style="17" hidden="1" customWidth="1"/>
    <col min="6410" max="6410" width="8.5703125" style="17" customWidth="1"/>
    <col min="6411" max="6411" width="7.85546875" style="17" customWidth="1"/>
    <col min="6412" max="6412" width="9.5703125" style="17" customWidth="1"/>
    <col min="6413" max="6413" width="0" style="17" hidden="1" customWidth="1"/>
    <col min="6414" max="6414" width="8.140625" style="17" customWidth="1"/>
    <col min="6415" max="6415" width="9.5703125" style="17" customWidth="1"/>
    <col min="6416" max="6416" width="10.85546875" style="17" customWidth="1"/>
    <col min="6417" max="6423" width="10" style="17" customWidth="1"/>
    <col min="6424" max="6424" width="12" style="17" customWidth="1"/>
    <col min="6425" max="6425" width="12.5703125" style="17" customWidth="1"/>
    <col min="6426" max="6426" width="20.140625" style="17" customWidth="1"/>
    <col min="6427" max="6427" width="10.42578125" style="17" bestFit="1" customWidth="1"/>
    <col min="6428" max="6428" width="14.140625" style="17" customWidth="1"/>
    <col min="6429" max="6652" width="9.140625" style="17"/>
    <col min="6653" max="6653" width="5.140625" style="17" customWidth="1"/>
    <col min="6654" max="6654" width="27.140625" style="17" customWidth="1"/>
    <col min="6655" max="6655" width="0" style="17" hidden="1" customWidth="1"/>
    <col min="6656" max="6656" width="5.85546875" style="17" customWidth="1"/>
    <col min="6657" max="6657" width="4.28515625" style="17" customWidth="1"/>
    <col min="6658" max="6658" width="12.5703125" style="17" customWidth="1"/>
    <col min="6659" max="6662" width="0" style="17" hidden="1" customWidth="1"/>
    <col min="6663" max="6663" width="10.140625" style="17" customWidth="1"/>
    <col min="6664" max="6664" width="11.7109375" style="17" customWidth="1"/>
    <col min="6665" max="6665" width="0" style="17" hidden="1" customWidth="1"/>
    <col min="6666" max="6666" width="8.5703125" style="17" customWidth="1"/>
    <col min="6667" max="6667" width="7.85546875" style="17" customWidth="1"/>
    <col min="6668" max="6668" width="9.5703125" style="17" customWidth="1"/>
    <col min="6669" max="6669" width="0" style="17" hidden="1" customWidth="1"/>
    <col min="6670" max="6670" width="8.140625" style="17" customWidth="1"/>
    <col min="6671" max="6671" width="9.5703125" style="17" customWidth="1"/>
    <col min="6672" max="6672" width="10.85546875" style="17" customWidth="1"/>
    <col min="6673" max="6679" width="10" style="17" customWidth="1"/>
    <col min="6680" max="6680" width="12" style="17" customWidth="1"/>
    <col min="6681" max="6681" width="12.5703125" style="17" customWidth="1"/>
    <col min="6682" max="6682" width="20.140625" style="17" customWidth="1"/>
    <col min="6683" max="6683" width="10.42578125" style="17" bestFit="1" customWidth="1"/>
    <col min="6684" max="6684" width="14.140625" style="17" customWidth="1"/>
    <col min="6685" max="6908" width="9.140625" style="17"/>
    <col min="6909" max="6909" width="5.140625" style="17" customWidth="1"/>
    <col min="6910" max="6910" width="27.140625" style="17" customWidth="1"/>
    <col min="6911" max="6911" width="0" style="17" hidden="1" customWidth="1"/>
    <col min="6912" max="6912" width="5.85546875" style="17" customWidth="1"/>
    <col min="6913" max="6913" width="4.28515625" style="17" customWidth="1"/>
    <col min="6914" max="6914" width="12.5703125" style="17" customWidth="1"/>
    <col min="6915" max="6918" width="0" style="17" hidden="1" customWidth="1"/>
    <col min="6919" max="6919" width="10.140625" style="17" customWidth="1"/>
    <col min="6920" max="6920" width="11.7109375" style="17" customWidth="1"/>
    <col min="6921" max="6921" width="0" style="17" hidden="1" customWidth="1"/>
    <col min="6922" max="6922" width="8.5703125" style="17" customWidth="1"/>
    <col min="6923" max="6923" width="7.85546875" style="17" customWidth="1"/>
    <col min="6924" max="6924" width="9.5703125" style="17" customWidth="1"/>
    <col min="6925" max="6925" width="0" style="17" hidden="1" customWidth="1"/>
    <col min="6926" max="6926" width="8.140625" style="17" customWidth="1"/>
    <col min="6927" max="6927" width="9.5703125" style="17" customWidth="1"/>
    <col min="6928" max="6928" width="10.85546875" style="17" customWidth="1"/>
    <col min="6929" max="6935" width="10" style="17" customWidth="1"/>
    <col min="6936" max="6936" width="12" style="17" customWidth="1"/>
    <col min="6937" max="6937" width="12.5703125" style="17" customWidth="1"/>
    <col min="6938" max="6938" width="20.140625" style="17" customWidth="1"/>
    <col min="6939" max="6939" width="10.42578125" style="17" bestFit="1" customWidth="1"/>
    <col min="6940" max="6940" width="14.140625" style="17" customWidth="1"/>
    <col min="6941" max="7164" width="9.140625" style="17"/>
    <col min="7165" max="7165" width="5.140625" style="17" customWidth="1"/>
    <col min="7166" max="7166" width="27.140625" style="17" customWidth="1"/>
    <col min="7167" max="7167" width="0" style="17" hidden="1" customWidth="1"/>
    <col min="7168" max="7168" width="5.85546875" style="17" customWidth="1"/>
    <col min="7169" max="7169" width="4.28515625" style="17" customWidth="1"/>
    <col min="7170" max="7170" width="12.5703125" style="17" customWidth="1"/>
    <col min="7171" max="7174" width="0" style="17" hidden="1" customWidth="1"/>
    <col min="7175" max="7175" width="10.140625" style="17" customWidth="1"/>
    <col min="7176" max="7176" width="11.7109375" style="17" customWidth="1"/>
    <col min="7177" max="7177" width="0" style="17" hidden="1" customWidth="1"/>
    <col min="7178" max="7178" width="8.5703125" style="17" customWidth="1"/>
    <col min="7179" max="7179" width="7.85546875" style="17" customWidth="1"/>
    <col min="7180" max="7180" width="9.5703125" style="17" customWidth="1"/>
    <col min="7181" max="7181" width="0" style="17" hidden="1" customWidth="1"/>
    <col min="7182" max="7182" width="8.140625" style="17" customWidth="1"/>
    <col min="7183" max="7183" width="9.5703125" style="17" customWidth="1"/>
    <col min="7184" max="7184" width="10.85546875" style="17" customWidth="1"/>
    <col min="7185" max="7191" width="10" style="17" customWidth="1"/>
    <col min="7192" max="7192" width="12" style="17" customWidth="1"/>
    <col min="7193" max="7193" width="12.5703125" style="17" customWidth="1"/>
    <col min="7194" max="7194" width="20.140625" style="17" customWidth="1"/>
    <col min="7195" max="7195" width="10.42578125" style="17" bestFit="1" customWidth="1"/>
    <col min="7196" max="7196" width="14.140625" style="17" customWidth="1"/>
    <col min="7197" max="7420" width="9.140625" style="17"/>
    <col min="7421" max="7421" width="5.140625" style="17" customWidth="1"/>
    <col min="7422" max="7422" width="27.140625" style="17" customWidth="1"/>
    <col min="7423" max="7423" width="0" style="17" hidden="1" customWidth="1"/>
    <col min="7424" max="7424" width="5.85546875" style="17" customWidth="1"/>
    <col min="7425" max="7425" width="4.28515625" style="17" customWidth="1"/>
    <col min="7426" max="7426" width="12.5703125" style="17" customWidth="1"/>
    <col min="7427" max="7430" width="0" style="17" hidden="1" customWidth="1"/>
    <col min="7431" max="7431" width="10.140625" style="17" customWidth="1"/>
    <col min="7432" max="7432" width="11.7109375" style="17" customWidth="1"/>
    <col min="7433" max="7433" width="0" style="17" hidden="1" customWidth="1"/>
    <col min="7434" max="7434" width="8.5703125" style="17" customWidth="1"/>
    <col min="7435" max="7435" width="7.85546875" style="17" customWidth="1"/>
    <col min="7436" max="7436" width="9.5703125" style="17" customWidth="1"/>
    <col min="7437" max="7437" width="0" style="17" hidden="1" customWidth="1"/>
    <col min="7438" max="7438" width="8.140625" style="17" customWidth="1"/>
    <col min="7439" max="7439" width="9.5703125" style="17" customWidth="1"/>
    <col min="7440" max="7440" width="10.85546875" style="17" customWidth="1"/>
    <col min="7441" max="7447" width="10" style="17" customWidth="1"/>
    <col min="7448" max="7448" width="12" style="17" customWidth="1"/>
    <col min="7449" max="7449" width="12.5703125" style="17" customWidth="1"/>
    <col min="7450" max="7450" width="20.140625" style="17" customWidth="1"/>
    <col min="7451" max="7451" width="10.42578125" style="17" bestFit="1" customWidth="1"/>
    <col min="7452" max="7452" width="14.140625" style="17" customWidth="1"/>
    <col min="7453" max="7676" width="9.140625" style="17"/>
    <col min="7677" max="7677" width="5.140625" style="17" customWidth="1"/>
    <col min="7678" max="7678" width="27.140625" style="17" customWidth="1"/>
    <col min="7679" max="7679" width="0" style="17" hidden="1" customWidth="1"/>
    <col min="7680" max="7680" width="5.85546875" style="17" customWidth="1"/>
    <col min="7681" max="7681" width="4.28515625" style="17" customWidth="1"/>
    <col min="7682" max="7682" width="12.5703125" style="17" customWidth="1"/>
    <col min="7683" max="7686" width="0" style="17" hidden="1" customWidth="1"/>
    <col min="7687" max="7687" width="10.140625" style="17" customWidth="1"/>
    <col min="7688" max="7688" width="11.7109375" style="17" customWidth="1"/>
    <col min="7689" max="7689" width="0" style="17" hidden="1" customWidth="1"/>
    <col min="7690" max="7690" width="8.5703125" style="17" customWidth="1"/>
    <col min="7691" max="7691" width="7.85546875" style="17" customWidth="1"/>
    <col min="7692" max="7692" width="9.5703125" style="17" customWidth="1"/>
    <col min="7693" max="7693" width="0" style="17" hidden="1" customWidth="1"/>
    <col min="7694" max="7694" width="8.140625" style="17" customWidth="1"/>
    <col min="7695" max="7695" width="9.5703125" style="17" customWidth="1"/>
    <col min="7696" max="7696" width="10.85546875" style="17" customWidth="1"/>
    <col min="7697" max="7703" width="10" style="17" customWidth="1"/>
    <col min="7704" max="7704" width="12" style="17" customWidth="1"/>
    <col min="7705" max="7705" width="12.5703125" style="17" customWidth="1"/>
    <col min="7706" max="7706" width="20.140625" style="17" customWidth="1"/>
    <col min="7707" max="7707" width="10.42578125" style="17" bestFit="1" customWidth="1"/>
    <col min="7708" max="7708" width="14.140625" style="17" customWidth="1"/>
    <col min="7709" max="7932" width="9.140625" style="17"/>
    <col min="7933" max="7933" width="5.140625" style="17" customWidth="1"/>
    <col min="7934" max="7934" width="27.140625" style="17" customWidth="1"/>
    <col min="7935" max="7935" width="0" style="17" hidden="1" customWidth="1"/>
    <col min="7936" max="7936" width="5.85546875" style="17" customWidth="1"/>
    <col min="7937" max="7937" width="4.28515625" style="17" customWidth="1"/>
    <col min="7938" max="7938" width="12.5703125" style="17" customWidth="1"/>
    <col min="7939" max="7942" width="0" style="17" hidden="1" customWidth="1"/>
    <col min="7943" max="7943" width="10.140625" style="17" customWidth="1"/>
    <col min="7944" max="7944" width="11.7109375" style="17" customWidth="1"/>
    <col min="7945" max="7945" width="0" style="17" hidden="1" customWidth="1"/>
    <col min="7946" max="7946" width="8.5703125" style="17" customWidth="1"/>
    <col min="7947" max="7947" width="7.85546875" style="17" customWidth="1"/>
    <col min="7948" max="7948" width="9.5703125" style="17" customWidth="1"/>
    <col min="7949" max="7949" width="0" style="17" hidden="1" customWidth="1"/>
    <col min="7950" max="7950" width="8.140625" style="17" customWidth="1"/>
    <col min="7951" max="7951" width="9.5703125" style="17" customWidth="1"/>
    <col min="7952" max="7952" width="10.85546875" style="17" customWidth="1"/>
    <col min="7953" max="7959" width="10" style="17" customWidth="1"/>
    <col min="7960" max="7960" width="12" style="17" customWidth="1"/>
    <col min="7961" max="7961" width="12.5703125" style="17" customWidth="1"/>
    <col min="7962" max="7962" width="20.140625" style="17" customWidth="1"/>
    <col min="7963" max="7963" width="10.42578125" style="17" bestFit="1" customWidth="1"/>
    <col min="7964" max="7964" width="14.140625" style="17" customWidth="1"/>
    <col min="7965" max="8188" width="9.140625" style="17"/>
    <col min="8189" max="8189" width="5.140625" style="17" customWidth="1"/>
    <col min="8190" max="8190" width="27.140625" style="17" customWidth="1"/>
    <col min="8191" max="8191" width="0" style="17" hidden="1" customWidth="1"/>
    <col min="8192" max="8192" width="5.85546875" style="17" customWidth="1"/>
    <col min="8193" max="8193" width="4.28515625" style="17" customWidth="1"/>
    <col min="8194" max="8194" width="12.5703125" style="17" customWidth="1"/>
    <col min="8195" max="8198" width="0" style="17" hidden="1" customWidth="1"/>
    <col min="8199" max="8199" width="10.140625" style="17" customWidth="1"/>
    <col min="8200" max="8200" width="11.7109375" style="17" customWidth="1"/>
    <col min="8201" max="8201" width="0" style="17" hidden="1" customWidth="1"/>
    <col min="8202" max="8202" width="8.5703125" style="17" customWidth="1"/>
    <col min="8203" max="8203" width="7.85546875" style="17" customWidth="1"/>
    <col min="8204" max="8204" width="9.5703125" style="17" customWidth="1"/>
    <col min="8205" max="8205" width="0" style="17" hidden="1" customWidth="1"/>
    <col min="8206" max="8206" width="8.140625" style="17" customWidth="1"/>
    <col min="8207" max="8207" width="9.5703125" style="17" customWidth="1"/>
    <col min="8208" max="8208" width="10.85546875" style="17" customWidth="1"/>
    <col min="8209" max="8215" width="10" style="17" customWidth="1"/>
    <col min="8216" max="8216" width="12" style="17" customWidth="1"/>
    <col min="8217" max="8217" width="12.5703125" style="17" customWidth="1"/>
    <col min="8218" max="8218" width="20.140625" style="17" customWidth="1"/>
    <col min="8219" max="8219" width="10.42578125" style="17" bestFit="1" customWidth="1"/>
    <col min="8220" max="8220" width="14.140625" style="17" customWidth="1"/>
    <col min="8221" max="8444" width="9.140625" style="17"/>
    <col min="8445" max="8445" width="5.140625" style="17" customWidth="1"/>
    <col min="8446" max="8446" width="27.140625" style="17" customWidth="1"/>
    <col min="8447" max="8447" width="0" style="17" hidden="1" customWidth="1"/>
    <col min="8448" max="8448" width="5.85546875" style="17" customWidth="1"/>
    <col min="8449" max="8449" width="4.28515625" style="17" customWidth="1"/>
    <col min="8450" max="8450" width="12.5703125" style="17" customWidth="1"/>
    <col min="8451" max="8454" width="0" style="17" hidden="1" customWidth="1"/>
    <col min="8455" max="8455" width="10.140625" style="17" customWidth="1"/>
    <col min="8456" max="8456" width="11.7109375" style="17" customWidth="1"/>
    <col min="8457" max="8457" width="0" style="17" hidden="1" customWidth="1"/>
    <col min="8458" max="8458" width="8.5703125" style="17" customWidth="1"/>
    <col min="8459" max="8459" width="7.85546875" style="17" customWidth="1"/>
    <col min="8460" max="8460" width="9.5703125" style="17" customWidth="1"/>
    <col min="8461" max="8461" width="0" style="17" hidden="1" customWidth="1"/>
    <col min="8462" max="8462" width="8.140625" style="17" customWidth="1"/>
    <col min="8463" max="8463" width="9.5703125" style="17" customWidth="1"/>
    <col min="8464" max="8464" width="10.85546875" style="17" customWidth="1"/>
    <col min="8465" max="8471" width="10" style="17" customWidth="1"/>
    <col min="8472" max="8472" width="12" style="17" customWidth="1"/>
    <col min="8473" max="8473" width="12.5703125" style="17" customWidth="1"/>
    <col min="8474" max="8474" width="20.140625" style="17" customWidth="1"/>
    <col min="8475" max="8475" width="10.42578125" style="17" bestFit="1" customWidth="1"/>
    <col min="8476" max="8476" width="14.140625" style="17" customWidth="1"/>
    <col min="8477" max="8700" width="9.140625" style="17"/>
    <col min="8701" max="8701" width="5.140625" style="17" customWidth="1"/>
    <col min="8702" max="8702" width="27.140625" style="17" customWidth="1"/>
    <col min="8703" max="8703" width="0" style="17" hidden="1" customWidth="1"/>
    <col min="8704" max="8704" width="5.85546875" style="17" customWidth="1"/>
    <col min="8705" max="8705" width="4.28515625" style="17" customWidth="1"/>
    <col min="8706" max="8706" width="12.5703125" style="17" customWidth="1"/>
    <col min="8707" max="8710" width="0" style="17" hidden="1" customWidth="1"/>
    <col min="8711" max="8711" width="10.140625" style="17" customWidth="1"/>
    <col min="8712" max="8712" width="11.7109375" style="17" customWidth="1"/>
    <col min="8713" max="8713" width="0" style="17" hidden="1" customWidth="1"/>
    <col min="8714" max="8714" width="8.5703125" style="17" customWidth="1"/>
    <col min="8715" max="8715" width="7.85546875" style="17" customWidth="1"/>
    <col min="8716" max="8716" width="9.5703125" style="17" customWidth="1"/>
    <col min="8717" max="8717" width="0" style="17" hidden="1" customWidth="1"/>
    <col min="8718" max="8718" width="8.140625" style="17" customWidth="1"/>
    <col min="8719" max="8719" width="9.5703125" style="17" customWidth="1"/>
    <col min="8720" max="8720" width="10.85546875" style="17" customWidth="1"/>
    <col min="8721" max="8727" width="10" style="17" customWidth="1"/>
    <col min="8728" max="8728" width="12" style="17" customWidth="1"/>
    <col min="8729" max="8729" width="12.5703125" style="17" customWidth="1"/>
    <col min="8730" max="8730" width="20.140625" style="17" customWidth="1"/>
    <col min="8731" max="8731" width="10.42578125" style="17" bestFit="1" customWidth="1"/>
    <col min="8732" max="8732" width="14.140625" style="17" customWidth="1"/>
    <col min="8733" max="8956" width="9.140625" style="17"/>
    <col min="8957" max="8957" width="5.140625" style="17" customWidth="1"/>
    <col min="8958" max="8958" width="27.140625" style="17" customWidth="1"/>
    <col min="8959" max="8959" width="0" style="17" hidden="1" customWidth="1"/>
    <col min="8960" max="8960" width="5.85546875" style="17" customWidth="1"/>
    <col min="8961" max="8961" width="4.28515625" style="17" customWidth="1"/>
    <col min="8962" max="8962" width="12.5703125" style="17" customWidth="1"/>
    <col min="8963" max="8966" width="0" style="17" hidden="1" customWidth="1"/>
    <col min="8967" max="8967" width="10.140625" style="17" customWidth="1"/>
    <col min="8968" max="8968" width="11.7109375" style="17" customWidth="1"/>
    <col min="8969" max="8969" width="0" style="17" hidden="1" customWidth="1"/>
    <col min="8970" max="8970" width="8.5703125" style="17" customWidth="1"/>
    <col min="8971" max="8971" width="7.85546875" style="17" customWidth="1"/>
    <col min="8972" max="8972" width="9.5703125" style="17" customWidth="1"/>
    <col min="8973" max="8973" width="0" style="17" hidden="1" customWidth="1"/>
    <col min="8974" max="8974" width="8.140625" style="17" customWidth="1"/>
    <col min="8975" max="8975" width="9.5703125" style="17" customWidth="1"/>
    <col min="8976" max="8976" width="10.85546875" style="17" customWidth="1"/>
    <col min="8977" max="8983" width="10" style="17" customWidth="1"/>
    <col min="8984" max="8984" width="12" style="17" customWidth="1"/>
    <col min="8985" max="8985" width="12.5703125" style="17" customWidth="1"/>
    <col min="8986" max="8986" width="20.140625" style="17" customWidth="1"/>
    <col min="8987" max="8987" width="10.42578125" style="17" bestFit="1" customWidth="1"/>
    <col min="8988" max="8988" width="14.140625" style="17" customWidth="1"/>
    <col min="8989" max="9212" width="9.140625" style="17"/>
    <col min="9213" max="9213" width="5.140625" style="17" customWidth="1"/>
    <col min="9214" max="9214" width="27.140625" style="17" customWidth="1"/>
    <col min="9215" max="9215" width="0" style="17" hidden="1" customWidth="1"/>
    <col min="9216" max="9216" width="5.85546875" style="17" customWidth="1"/>
    <col min="9217" max="9217" width="4.28515625" style="17" customWidth="1"/>
    <col min="9218" max="9218" width="12.5703125" style="17" customWidth="1"/>
    <col min="9219" max="9222" width="0" style="17" hidden="1" customWidth="1"/>
    <col min="9223" max="9223" width="10.140625" style="17" customWidth="1"/>
    <col min="9224" max="9224" width="11.7109375" style="17" customWidth="1"/>
    <col min="9225" max="9225" width="0" style="17" hidden="1" customWidth="1"/>
    <col min="9226" max="9226" width="8.5703125" style="17" customWidth="1"/>
    <col min="9227" max="9227" width="7.85546875" style="17" customWidth="1"/>
    <col min="9228" max="9228" width="9.5703125" style="17" customWidth="1"/>
    <col min="9229" max="9229" width="0" style="17" hidden="1" customWidth="1"/>
    <col min="9230" max="9230" width="8.140625" style="17" customWidth="1"/>
    <col min="9231" max="9231" width="9.5703125" style="17" customWidth="1"/>
    <col min="9232" max="9232" width="10.85546875" style="17" customWidth="1"/>
    <col min="9233" max="9239" width="10" style="17" customWidth="1"/>
    <col min="9240" max="9240" width="12" style="17" customWidth="1"/>
    <col min="9241" max="9241" width="12.5703125" style="17" customWidth="1"/>
    <col min="9242" max="9242" width="20.140625" style="17" customWidth="1"/>
    <col min="9243" max="9243" width="10.42578125" style="17" bestFit="1" customWidth="1"/>
    <col min="9244" max="9244" width="14.140625" style="17" customWidth="1"/>
    <col min="9245" max="9468" width="9.140625" style="17"/>
    <col min="9469" max="9469" width="5.140625" style="17" customWidth="1"/>
    <col min="9470" max="9470" width="27.140625" style="17" customWidth="1"/>
    <col min="9471" max="9471" width="0" style="17" hidden="1" customWidth="1"/>
    <col min="9472" max="9472" width="5.85546875" style="17" customWidth="1"/>
    <col min="9473" max="9473" width="4.28515625" style="17" customWidth="1"/>
    <col min="9474" max="9474" width="12.5703125" style="17" customWidth="1"/>
    <col min="9475" max="9478" width="0" style="17" hidden="1" customWidth="1"/>
    <col min="9479" max="9479" width="10.140625" style="17" customWidth="1"/>
    <col min="9480" max="9480" width="11.7109375" style="17" customWidth="1"/>
    <col min="9481" max="9481" width="0" style="17" hidden="1" customWidth="1"/>
    <col min="9482" max="9482" width="8.5703125" style="17" customWidth="1"/>
    <col min="9483" max="9483" width="7.85546875" style="17" customWidth="1"/>
    <col min="9484" max="9484" width="9.5703125" style="17" customWidth="1"/>
    <col min="9485" max="9485" width="0" style="17" hidden="1" customWidth="1"/>
    <col min="9486" max="9486" width="8.140625" style="17" customWidth="1"/>
    <col min="9487" max="9487" width="9.5703125" style="17" customWidth="1"/>
    <col min="9488" max="9488" width="10.85546875" style="17" customWidth="1"/>
    <col min="9489" max="9495" width="10" style="17" customWidth="1"/>
    <col min="9496" max="9496" width="12" style="17" customWidth="1"/>
    <col min="9497" max="9497" width="12.5703125" style="17" customWidth="1"/>
    <col min="9498" max="9498" width="20.140625" style="17" customWidth="1"/>
    <col min="9499" max="9499" width="10.42578125" style="17" bestFit="1" customWidth="1"/>
    <col min="9500" max="9500" width="14.140625" style="17" customWidth="1"/>
    <col min="9501" max="9724" width="9.140625" style="17"/>
    <col min="9725" max="9725" width="5.140625" style="17" customWidth="1"/>
    <col min="9726" max="9726" width="27.140625" style="17" customWidth="1"/>
    <col min="9727" max="9727" width="0" style="17" hidden="1" customWidth="1"/>
    <col min="9728" max="9728" width="5.85546875" style="17" customWidth="1"/>
    <col min="9729" max="9729" width="4.28515625" style="17" customWidth="1"/>
    <col min="9730" max="9730" width="12.5703125" style="17" customWidth="1"/>
    <col min="9731" max="9734" width="0" style="17" hidden="1" customWidth="1"/>
    <col min="9735" max="9735" width="10.140625" style="17" customWidth="1"/>
    <col min="9736" max="9736" width="11.7109375" style="17" customWidth="1"/>
    <col min="9737" max="9737" width="0" style="17" hidden="1" customWidth="1"/>
    <col min="9738" max="9738" width="8.5703125" style="17" customWidth="1"/>
    <col min="9739" max="9739" width="7.85546875" style="17" customWidth="1"/>
    <col min="9740" max="9740" width="9.5703125" style="17" customWidth="1"/>
    <col min="9741" max="9741" width="0" style="17" hidden="1" customWidth="1"/>
    <col min="9742" max="9742" width="8.140625" style="17" customWidth="1"/>
    <col min="9743" max="9743" width="9.5703125" style="17" customWidth="1"/>
    <col min="9744" max="9744" width="10.85546875" style="17" customWidth="1"/>
    <col min="9745" max="9751" width="10" style="17" customWidth="1"/>
    <col min="9752" max="9752" width="12" style="17" customWidth="1"/>
    <col min="9753" max="9753" width="12.5703125" style="17" customWidth="1"/>
    <col min="9754" max="9754" width="20.140625" style="17" customWidth="1"/>
    <col min="9755" max="9755" width="10.42578125" style="17" bestFit="1" customWidth="1"/>
    <col min="9756" max="9756" width="14.140625" style="17" customWidth="1"/>
    <col min="9757" max="9980" width="9.140625" style="17"/>
    <col min="9981" max="9981" width="5.140625" style="17" customWidth="1"/>
    <col min="9982" max="9982" width="27.140625" style="17" customWidth="1"/>
    <col min="9983" max="9983" width="0" style="17" hidden="1" customWidth="1"/>
    <col min="9984" max="9984" width="5.85546875" style="17" customWidth="1"/>
    <col min="9985" max="9985" width="4.28515625" style="17" customWidth="1"/>
    <col min="9986" max="9986" width="12.5703125" style="17" customWidth="1"/>
    <col min="9987" max="9990" width="0" style="17" hidden="1" customWidth="1"/>
    <col min="9991" max="9991" width="10.140625" style="17" customWidth="1"/>
    <col min="9992" max="9992" width="11.7109375" style="17" customWidth="1"/>
    <col min="9993" max="9993" width="0" style="17" hidden="1" customWidth="1"/>
    <col min="9994" max="9994" width="8.5703125" style="17" customWidth="1"/>
    <col min="9995" max="9995" width="7.85546875" style="17" customWidth="1"/>
    <col min="9996" max="9996" width="9.5703125" style="17" customWidth="1"/>
    <col min="9997" max="9997" width="0" style="17" hidden="1" customWidth="1"/>
    <col min="9998" max="9998" width="8.140625" style="17" customWidth="1"/>
    <col min="9999" max="9999" width="9.5703125" style="17" customWidth="1"/>
    <col min="10000" max="10000" width="10.85546875" style="17" customWidth="1"/>
    <col min="10001" max="10007" width="10" style="17" customWidth="1"/>
    <col min="10008" max="10008" width="12" style="17" customWidth="1"/>
    <col min="10009" max="10009" width="12.5703125" style="17" customWidth="1"/>
    <col min="10010" max="10010" width="20.140625" style="17" customWidth="1"/>
    <col min="10011" max="10011" width="10.42578125" style="17" bestFit="1" customWidth="1"/>
    <col min="10012" max="10012" width="14.140625" style="17" customWidth="1"/>
    <col min="10013" max="10236" width="9.140625" style="17"/>
    <col min="10237" max="10237" width="5.140625" style="17" customWidth="1"/>
    <col min="10238" max="10238" width="27.140625" style="17" customWidth="1"/>
    <col min="10239" max="10239" width="0" style="17" hidden="1" customWidth="1"/>
    <col min="10240" max="10240" width="5.85546875" style="17" customWidth="1"/>
    <col min="10241" max="10241" width="4.28515625" style="17" customWidth="1"/>
    <col min="10242" max="10242" width="12.5703125" style="17" customWidth="1"/>
    <col min="10243" max="10246" width="0" style="17" hidden="1" customWidth="1"/>
    <col min="10247" max="10247" width="10.140625" style="17" customWidth="1"/>
    <col min="10248" max="10248" width="11.7109375" style="17" customWidth="1"/>
    <col min="10249" max="10249" width="0" style="17" hidden="1" customWidth="1"/>
    <col min="10250" max="10250" width="8.5703125" style="17" customWidth="1"/>
    <col min="10251" max="10251" width="7.85546875" style="17" customWidth="1"/>
    <col min="10252" max="10252" width="9.5703125" style="17" customWidth="1"/>
    <col min="10253" max="10253" width="0" style="17" hidden="1" customWidth="1"/>
    <col min="10254" max="10254" width="8.140625" style="17" customWidth="1"/>
    <col min="10255" max="10255" width="9.5703125" style="17" customWidth="1"/>
    <col min="10256" max="10256" width="10.85546875" style="17" customWidth="1"/>
    <col min="10257" max="10263" width="10" style="17" customWidth="1"/>
    <col min="10264" max="10264" width="12" style="17" customWidth="1"/>
    <col min="10265" max="10265" width="12.5703125" style="17" customWidth="1"/>
    <col min="10266" max="10266" width="20.140625" style="17" customWidth="1"/>
    <col min="10267" max="10267" width="10.42578125" style="17" bestFit="1" customWidth="1"/>
    <col min="10268" max="10268" width="14.140625" style="17" customWidth="1"/>
    <col min="10269" max="10492" width="9.140625" style="17"/>
    <col min="10493" max="10493" width="5.140625" style="17" customWidth="1"/>
    <col min="10494" max="10494" width="27.140625" style="17" customWidth="1"/>
    <col min="10495" max="10495" width="0" style="17" hidden="1" customWidth="1"/>
    <col min="10496" max="10496" width="5.85546875" style="17" customWidth="1"/>
    <col min="10497" max="10497" width="4.28515625" style="17" customWidth="1"/>
    <col min="10498" max="10498" width="12.5703125" style="17" customWidth="1"/>
    <col min="10499" max="10502" width="0" style="17" hidden="1" customWidth="1"/>
    <col min="10503" max="10503" width="10.140625" style="17" customWidth="1"/>
    <col min="10504" max="10504" width="11.7109375" style="17" customWidth="1"/>
    <col min="10505" max="10505" width="0" style="17" hidden="1" customWidth="1"/>
    <col min="10506" max="10506" width="8.5703125" style="17" customWidth="1"/>
    <col min="10507" max="10507" width="7.85546875" style="17" customWidth="1"/>
    <col min="10508" max="10508" width="9.5703125" style="17" customWidth="1"/>
    <col min="10509" max="10509" width="0" style="17" hidden="1" customWidth="1"/>
    <col min="10510" max="10510" width="8.140625" style="17" customWidth="1"/>
    <col min="10511" max="10511" width="9.5703125" style="17" customWidth="1"/>
    <col min="10512" max="10512" width="10.85546875" style="17" customWidth="1"/>
    <col min="10513" max="10519" width="10" style="17" customWidth="1"/>
    <col min="10520" max="10520" width="12" style="17" customWidth="1"/>
    <col min="10521" max="10521" width="12.5703125" style="17" customWidth="1"/>
    <col min="10522" max="10522" width="20.140625" style="17" customWidth="1"/>
    <col min="10523" max="10523" width="10.42578125" style="17" bestFit="1" customWidth="1"/>
    <col min="10524" max="10524" width="14.140625" style="17" customWidth="1"/>
    <col min="10525" max="10748" width="9.140625" style="17"/>
    <col min="10749" max="10749" width="5.140625" style="17" customWidth="1"/>
    <col min="10750" max="10750" width="27.140625" style="17" customWidth="1"/>
    <col min="10751" max="10751" width="0" style="17" hidden="1" customWidth="1"/>
    <col min="10752" max="10752" width="5.85546875" style="17" customWidth="1"/>
    <col min="10753" max="10753" width="4.28515625" style="17" customWidth="1"/>
    <col min="10754" max="10754" width="12.5703125" style="17" customWidth="1"/>
    <col min="10755" max="10758" width="0" style="17" hidden="1" customWidth="1"/>
    <col min="10759" max="10759" width="10.140625" style="17" customWidth="1"/>
    <col min="10760" max="10760" width="11.7109375" style="17" customWidth="1"/>
    <col min="10761" max="10761" width="0" style="17" hidden="1" customWidth="1"/>
    <col min="10762" max="10762" width="8.5703125" style="17" customWidth="1"/>
    <col min="10763" max="10763" width="7.85546875" style="17" customWidth="1"/>
    <col min="10764" max="10764" width="9.5703125" style="17" customWidth="1"/>
    <col min="10765" max="10765" width="0" style="17" hidden="1" customWidth="1"/>
    <col min="10766" max="10766" width="8.140625" style="17" customWidth="1"/>
    <col min="10767" max="10767" width="9.5703125" style="17" customWidth="1"/>
    <col min="10768" max="10768" width="10.85546875" style="17" customWidth="1"/>
    <col min="10769" max="10775" width="10" style="17" customWidth="1"/>
    <col min="10776" max="10776" width="12" style="17" customWidth="1"/>
    <col min="10777" max="10777" width="12.5703125" style="17" customWidth="1"/>
    <col min="10778" max="10778" width="20.140625" style="17" customWidth="1"/>
    <col min="10779" max="10779" width="10.42578125" style="17" bestFit="1" customWidth="1"/>
    <col min="10780" max="10780" width="14.140625" style="17" customWidth="1"/>
    <col min="10781" max="11004" width="9.140625" style="17"/>
    <col min="11005" max="11005" width="5.140625" style="17" customWidth="1"/>
    <col min="11006" max="11006" width="27.140625" style="17" customWidth="1"/>
    <col min="11007" max="11007" width="0" style="17" hidden="1" customWidth="1"/>
    <col min="11008" max="11008" width="5.85546875" style="17" customWidth="1"/>
    <col min="11009" max="11009" width="4.28515625" style="17" customWidth="1"/>
    <col min="11010" max="11010" width="12.5703125" style="17" customWidth="1"/>
    <col min="11011" max="11014" width="0" style="17" hidden="1" customWidth="1"/>
    <col min="11015" max="11015" width="10.140625" style="17" customWidth="1"/>
    <col min="11016" max="11016" width="11.7109375" style="17" customWidth="1"/>
    <col min="11017" max="11017" width="0" style="17" hidden="1" customWidth="1"/>
    <col min="11018" max="11018" width="8.5703125" style="17" customWidth="1"/>
    <col min="11019" max="11019" width="7.85546875" style="17" customWidth="1"/>
    <col min="11020" max="11020" width="9.5703125" style="17" customWidth="1"/>
    <col min="11021" max="11021" width="0" style="17" hidden="1" customWidth="1"/>
    <col min="11022" max="11022" width="8.140625" style="17" customWidth="1"/>
    <col min="11023" max="11023" width="9.5703125" style="17" customWidth="1"/>
    <col min="11024" max="11024" width="10.85546875" style="17" customWidth="1"/>
    <col min="11025" max="11031" width="10" style="17" customWidth="1"/>
    <col min="11032" max="11032" width="12" style="17" customWidth="1"/>
    <col min="11033" max="11033" width="12.5703125" style="17" customWidth="1"/>
    <col min="11034" max="11034" width="20.140625" style="17" customWidth="1"/>
    <col min="11035" max="11035" width="10.42578125" style="17" bestFit="1" customWidth="1"/>
    <col min="11036" max="11036" width="14.140625" style="17" customWidth="1"/>
    <col min="11037" max="11260" width="9.140625" style="17"/>
    <col min="11261" max="11261" width="5.140625" style="17" customWidth="1"/>
    <col min="11262" max="11262" width="27.140625" style="17" customWidth="1"/>
    <col min="11263" max="11263" width="0" style="17" hidden="1" customWidth="1"/>
    <col min="11264" max="11264" width="5.85546875" style="17" customWidth="1"/>
    <col min="11265" max="11265" width="4.28515625" style="17" customWidth="1"/>
    <col min="11266" max="11266" width="12.5703125" style="17" customWidth="1"/>
    <col min="11267" max="11270" width="0" style="17" hidden="1" customWidth="1"/>
    <col min="11271" max="11271" width="10.140625" style="17" customWidth="1"/>
    <col min="11272" max="11272" width="11.7109375" style="17" customWidth="1"/>
    <col min="11273" max="11273" width="0" style="17" hidden="1" customWidth="1"/>
    <col min="11274" max="11274" width="8.5703125" style="17" customWidth="1"/>
    <col min="11275" max="11275" width="7.85546875" style="17" customWidth="1"/>
    <col min="11276" max="11276" width="9.5703125" style="17" customWidth="1"/>
    <col min="11277" max="11277" width="0" style="17" hidden="1" customWidth="1"/>
    <col min="11278" max="11278" width="8.140625" style="17" customWidth="1"/>
    <col min="11279" max="11279" width="9.5703125" style="17" customWidth="1"/>
    <col min="11280" max="11280" width="10.85546875" style="17" customWidth="1"/>
    <col min="11281" max="11287" width="10" style="17" customWidth="1"/>
    <col min="11288" max="11288" width="12" style="17" customWidth="1"/>
    <col min="11289" max="11289" width="12.5703125" style="17" customWidth="1"/>
    <col min="11290" max="11290" width="20.140625" style="17" customWidth="1"/>
    <col min="11291" max="11291" width="10.42578125" style="17" bestFit="1" customWidth="1"/>
    <col min="11292" max="11292" width="14.140625" style="17" customWidth="1"/>
    <col min="11293" max="11516" width="9.140625" style="17"/>
    <col min="11517" max="11517" width="5.140625" style="17" customWidth="1"/>
    <col min="11518" max="11518" width="27.140625" style="17" customWidth="1"/>
    <col min="11519" max="11519" width="0" style="17" hidden="1" customWidth="1"/>
    <col min="11520" max="11520" width="5.85546875" style="17" customWidth="1"/>
    <col min="11521" max="11521" width="4.28515625" style="17" customWidth="1"/>
    <col min="11522" max="11522" width="12.5703125" style="17" customWidth="1"/>
    <col min="11523" max="11526" width="0" style="17" hidden="1" customWidth="1"/>
    <col min="11527" max="11527" width="10.140625" style="17" customWidth="1"/>
    <col min="11528" max="11528" width="11.7109375" style="17" customWidth="1"/>
    <col min="11529" max="11529" width="0" style="17" hidden="1" customWidth="1"/>
    <col min="11530" max="11530" width="8.5703125" style="17" customWidth="1"/>
    <col min="11531" max="11531" width="7.85546875" style="17" customWidth="1"/>
    <col min="11532" max="11532" width="9.5703125" style="17" customWidth="1"/>
    <col min="11533" max="11533" width="0" style="17" hidden="1" customWidth="1"/>
    <col min="11534" max="11534" width="8.140625" style="17" customWidth="1"/>
    <col min="11535" max="11535" width="9.5703125" style="17" customWidth="1"/>
    <col min="11536" max="11536" width="10.85546875" style="17" customWidth="1"/>
    <col min="11537" max="11543" width="10" style="17" customWidth="1"/>
    <col min="11544" max="11544" width="12" style="17" customWidth="1"/>
    <col min="11545" max="11545" width="12.5703125" style="17" customWidth="1"/>
    <col min="11546" max="11546" width="20.140625" style="17" customWidth="1"/>
    <col min="11547" max="11547" width="10.42578125" style="17" bestFit="1" customWidth="1"/>
    <col min="11548" max="11548" width="14.140625" style="17" customWidth="1"/>
    <col min="11549" max="11772" width="9.140625" style="17"/>
    <col min="11773" max="11773" width="5.140625" style="17" customWidth="1"/>
    <col min="11774" max="11774" width="27.140625" style="17" customWidth="1"/>
    <col min="11775" max="11775" width="0" style="17" hidden="1" customWidth="1"/>
    <col min="11776" max="11776" width="5.85546875" style="17" customWidth="1"/>
    <col min="11777" max="11777" width="4.28515625" style="17" customWidth="1"/>
    <col min="11778" max="11778" width="12.5703125" style="17" customWidth="1"/>
    <col min="11779" max="11782" width="0" style="17" hidden="1" customWidth="1"/>
    <col min="11783" max="11783" width="10.140625" style="17" customWidth="1"/>
    <col min="11784" max="11784" width="11.7109375" style="17" customWidth="1"/>
    <col min="11785" max="11785" width="0" style="17" hidden="1" customWidth="1"/>
    <col min="11786" max="11786" width="8.5703125" style="17" customWidth="1"/>
    <col min="11787" max="11787" width="7.85546875" style="17" customWidth="1"/>
    <col min="11788" max="11788" width="9.5703125" style="17" customWidth="1"/>
    <col min="11789" max="11789" width="0" style="17" hidden="1" customWidth="1"/>
    <col min="11790" max="11790" width="8.140625" style="17" customWidth="1"/>
    <col min="11791" max="11791" width="9.5703125" style="17" customWidth="1"/>
    <col min="11792" max="11792" width="10.85546875" style="17" customWidth="1"/>
    <col min="11793" max="11799" width="10" style="17" customWidth="1"/>
    <col min="11800" max="11800" width="12" style="17" customWidth="1"/>
    <col min="11801" max="11801" width="12.5703125" style="17" customWidth="1"/>
    <col min="11802" max="11802" width="20.140625" style="17" customWidth="1"/>
    <col min="11803" max="11803" width="10.42578125" style="17" bestFit="1" customWidth="1"/>
    <col min="11804" max="11804" width="14.140625" style="17" customWidth="1"/>
    <col min="11805" max="12028" width="9.140625" style="17"/>
    <col min="12029" max="12029" width="5.140625" style="17" customWidth="1"/>
    <col min="12030" max="12030" width="27.140625" style="17" customWidth="1"/>
    <col min="12031" max="12031" width="0" style="17" hidden="1" customWidth="1"/>
    <col min="12032" max="12032" width="5.85546875" style="17" customWidth="1"/>
    <col min="12033" max="12033" width="4.28515625" style="17" customWidth="1"/>
    <col min="12034" max="12034" width="12.5703125" style="17" customWidth="1"/>
    <col min="12035" max="12038" width="0" style="17" hidden="1" customWidth="1"/>
    <col min="12039" max="12039" width="10.140625" style="17" customWidth="1"/>
    <col min="12040" max="12040" width="11.7109375" style="17" customWidth="1"/>
    <col min="12041" max="12041" width="0" style="17" hidden="1" customWidth="1"/>
    <col min="12042" max="12042" width="8.5703125" style="17" customWidth="1"/>
    <col min="12043" max="12043" width="7.85546875" style="17" customWidth="1"/>
    <col min="12044" max="12044" width="9.5703125" style="17" customWidth="1"/>
    <col min="12045" max="12045" width="0" style="17" hidden="1" customWidth="1"/>
    <col min="12046" max="12046" width="8.140625" style="17" customWidth="1"/>
    <col min="12047" max="12047" width="9.5703125" style="17" customWidth="1"/>
    <col min="12048" max="12048" width="10.85546875" style="17" customWidth="1"/>
    <col min="12049" max="12055" width="10" style="17" customWidth="1"/>
    <col min="12056" max="12056" width="12" style="17" customWidth="1"/>
    <col min="12057" max="12057" width="12.5703125" style="17" customWidth="1"/>
    <col min="12058" max="12058" width="20.140625" style="17" customWidth="1"/>
    <col min="12059" max="12059" width="10.42578125" style="17" bestFit="1" customWidth="1"/>
    <col min="12060" max="12060" width="14.140625" style="17" customWidth="1"/>
    <col min="12061" max="12284" width="9.140625" style="17"/>
    <col min="12285" max="12285" width="5.140625" style="17" customWidth="1"/>
    <col min="12286" max="12286" width="27.140625" style="17" customWidth="1"/>
    <col min="12287" max="12287" width="0" style="17" hidden="1" customWidth="1"/>
    <col min="12288" max="12288" width="5.85546875" style="17" customWidth="1"/>
    <col min="12289" max="12289" width="4.28515625" style="17" customWidth="1"/>
    <col min="12290" max="12290" width="12.5703125" style="17" customWidth="1"/>
    <col min="12291" max="12294" width="0" style="17" hidden="1" customWidth="1"/>
    <col min="12295" max="12295" width="10.140625" style="17" customWidth="1"/>
    <col min="12296" max="12296" width="11.7109375" style="17" customWidth="1"/>
    <col min="12297" max="12297" width="0" style="17" hidden="1" customWidth="1"/>
    <col min="12298" max="12298" width="8.5703125" style="17" customWidth="1"/>
    <col min="12299" max="12299" width="7.85546875" style="17" customWidth="1"/>
    <col min="12300" max="12300" width="9.5703125" style="17" customWidth="1"/>
    <col min="12301" max="12301" width="0" style="17" hidden="1" customWidth="1"/>
    <col min="12302" max="12302" width="8.140625" style="17" customWidth="1"/>
    <col min="12303" max="12303" width="9.5703125" style="17" customWidth="1"/>
    <col min="12304" max="12304" width="10.85546875" style="17" customWidth="1"/>
    <col min="12305" max="12311" width="10" style="17" customWidth="1"/>
    <col min="12312" max="12312" width="12" style="17" customWidth="1"/>
    <col min="12313" max="12313" width="12.5703125" style="17" customWidth="1"/>
    <col min="12314" max="12314" width="20.140625" style="17" customWidth="1"/>
    <col min="12315" max="12315" width="10.42578125" style="17" bestFit="1" customWidth="1"/>
    <col min="12316" max="12316" width="14.140625" style="17" customWidth="1"/>
    <col min="12317" max="12540" width="9.140625" style="17"/>
    <col min="12541" max="12541" width="5.140625" style="17" customWidth="1"/>
    <col min="12542" max="12542" width="27.140625" style="17" customWidth="1"/>
    <col min="12543" max="12543" width="0" style="17" hidden="1" customWidth="1"/>
    <col min="12544" max="12544" width="5.85546875" style="17" customWidth="1"/>
    <col min="12545" max="12545" width="4.28515625" style="17" customWidth="1"/>
    <col min="12546" max="12546" width="12.5703125" style="17" customWidth="1"/>
    <col min="12547" max="12550" width="0" style="17" hidden="1" customWidth="1"/>
    <col min="12551" max="12551" width="10.140625" style="17" customWidth="1"/>
    <col min="12552" max="12552" width="11.7109375" style="17" customWidth="1"/>
    <col min="12553" max="12553" width="0" style="17" hidden="1" customWidth="1"/>
    <col min="12554" max="12554" width="8.5703125" style="17" customWidth="1"/>
    <col min="12555" max="12555" width="7.85546875" style="17" customWidth="1"/>
    <col min="12556" max="12556" width="9.5703125" style="17" customWidth="1"/>
    <col min="12557" max="12557" width="0" style="17" hidden="1" customWidth="1"/>
    <col min="12558" max="12558" width="8.140625" style="17" customWidth="1"/>
    <col min="12559" max="12559" width="9.5703125" style="17" customWidth="1"/>
    <col min="12560" max="12560" width="10.85546875" style="17" customWidth="1"/>
    <col min="12561" max="12567" width="10" style="17" customWidth="1"/>
    <col min="12568" max="12568" width="12" style="17" customWidth="1"/>
    <col min="12569" max="12569" width="12.5703125" style="17" customWidth="1"/>
    <col min="12570" max="12570" width="20.140625" style="17" customWidth="1"/>
    <col min="12571" max="12571" width="10.42578125" style="17" bestFit="1" customWidth="1"/>
    <col min="12572" max="12572" width="14.140625" style="17" customWidth="1"/>
    <col min="12573" max="12796" width="9.140625" style="17"/>
    <col min="12797" max="12797" width="5.140625" style="17" customWidth="1"/>
    <col min="12798" max="12798" width="27.140625" style="17" customWidth="1"/>
    <col min="12799" max="12799" width="0" style="17" hidden="1" customWidth="1"/>
    <col min="12800" max="12800" width="5.85546875" style="17" customWidth="1"/>
    <col min="12801" max="12801" width="4.28515625" style="17" customWidth="1"/>
    <col min="12802" max="12802" width="12.5703125" style="17" customWidth="1"/>
    <col min="12803" max="12806" width="0" style="17" hidden="1" customWidth="1"/>
    <col min="12807" max="12807" width="10.140625" style="17" customWidth="1"/>
    <col min="12808" max="12808" width="11.7109375" style="17" customWidth="1"/>
    <col min="12809" max="12809" width="0" style="17" hidden="1" customWidth="1"/>
    <col min="12810" max="12810" width="8.5703125" style="17" customWidth="1"/>
    <col min="12811" max="12811" width="7.85546875" style="17" customWidth="1"/>
    <col min="12812" max="12812" width="9.5703125" style="17" customWidth="1"/>
    <col min="12813" max="12813" width="0" style="17" hidden="1" customWidth="1"/>
    <col min="12814" max="12814" width="8.140625" style="17" customWidth="1"/>
    <col min="12815" max="12815" width="9.5703125" style="17" customWidth="1"/>
    <col min="12816" max="12816" width="10.85546875" style="17" customWidth="1"/>
    <col min="12817" max="12823" width="10" style="17" customWidth="1"/>
    <col min="12824" max="12824" width="12" style="17" customWidth="1"/>
    <col min="12825" max="12825" width="12.5703125" style="17" customWidth="1"/>
    <col min="12826" max="12826" width="20.140625" style="17" customWidth="1"/>
    <col min="12827" max="12827" width="10.42578125" style="17" bestFit="1" customWidth="1"/>
    <col min="12828" max="12828" width="14.140625" style="17" customWidth="1"/>
    <col min="12829" max="13052" width="9.140625" style="17"/>
    <col min="13053" max="13053" width="5.140625" style="17" customWidth="1"/>
    <col min="13054" max="13054" width="27.140625" style="17" customWidth="1"/>
    <col min="13055" max="13055" width="0" style="17" hidden="1" customWidth="1"/>
    <col min="13056" max="13056" width="5.85546875" style="17" customWidth="1"/>
    <col min="13057" max="13057" width="4.28515625" style="17" customWidth="1"/>
    <col min="13058" max="13058" width="12.5703125" style="17" customWidth="1"/>
    <col min="13059" max="13062" width="0" style="17" hidden="1" customWidth="1"/>
    <col min="13063" max="13063" width="10.140625" style="17" customWidth="1"/>
    <col min="13064" max="13064" width="11.7109375" style="17" customWidth="1"/>
    <col min="13065" max="13065" width="0" style="17" hidden="1" customWidth="1"/>
    <col min="13066" max="13066" width="8.5703125" style="17" customWidth="1"/>
    <col min="13067" max="13067" width="7.85546875" style="17" customWidth="1"/>
    <col min="13068" max="13068" width="9.5703125" style="17" customWidth="1"/>
    <col min="13069" max="13069" width="0" style="17" hidden="1" customWidth="1"/>
    <col min="13070" max="13070" width="8.140625" style="17" customWidth="1"/>
    <col min="13071" max="13071" width="9.5703125" style="17" customWidth="1"/>
    <col min="13072" max="13072" width="10.85546875" style="17" customWidth="1"/>
    <col min="13073" max="13079" width="10" style="17" customWidth="1"/>
    <col min="13080" max="13080" width="12" style="17" customWidth="1"/>
    <col min="13081" max="13081" width="12.5703125" style="17" customWidth="1"/>
    <col min="13082" max="13082" width="20.140625" style="17" customWidth="1"/>
    <col min="13083" max="13083" width="10.42578125" style="17" bestFit="1" customWidth="1"/>
    <col min="13084" max="13084" width="14.140625" style="17" customWidth="1"/>
    <col min="13085" max="13308" width="9.140625" style="17"/>
    <col min="13309" max="13309" width="5.140625" style="17" customWidth="1"/>
    <col min="13310" max="13310" width="27.140625" style="17" customWidth="1"/>
    <col min="13311" max="13311" width="0" style="17" hidden="1" customWidth="1"/>
    <col min="13312" max="13312" width="5.85546875" style="17" customWidth="1"/>
    <col min="13313" max="13313" width="4.28515625" style="17" customWidth="1"/>
    <col min="13314" max="13314" width="12.5703125" style="17" customWidth="1"/>
    <col min="13315" max="13318" width="0" style="17" hidden="1" customWidth="1"/>
    <col min="13319" max="13319" width="10.140625" style="17" customWidth="1"/>
    <col min="13320" max="13320" width="11.7109375" style="17" customWidth="1"/>
    <col min="13321" max="13321" width="0" style="17" hidden="1" customWidth="1"/>
    <col min="13322" max="13322" width="8.5703125" style="17" customWidth="1"/>
    <col min="13323" max="13323" width="7.85546875" style="17" customWidth="1"/>
    <col min="13324" max="13324" width="9.5703125" style="17" customWidth="1"/>
    <col min="13325" max="13325" width="0" style="17" hidden="1" customWidth="1"/>
    <col min="13326" max="13326" width="8.140625" style="17" customWidth="1"/>
    <col min="13327" max="13327" width="9.5703125" style="17" customWidth="1"/>
    <col min="13328" max="13328" width="10.85546875" style="17" customWidth="1"/>
    <col min="13329" max="13335" width="10" style="17" customWidth="1"/>
    <col min="13336" max="13336" width="12" style="17" customWidth="1"/>
    <col min="13337" max="13337" width="12.5703125" style="17" customWidth="1"/>
    <col min="13338" max="13338" width="20.140625" style="17" customWidth="1"/>
    <col min="13339" max="13339" width="10.42578125" style="17" bestFit="1" customWidth="1"/>
    <col min="13340" max="13340" width="14.140625" style="17" customWidth="1"/>
    <col min="13341" max="13564" width="9.140625" style="17"/>
    <col min="13565" max="13565" width="5.140625" style="17" customWidth="1"/>
    <col min="13566" max="13566" width="27.140625" style="17" customWidth="1"/>
    <col min="13567" max="13567" width="0" style="17" hidden="1" customWidth="1"/>
    <col min="13568" max="13568" width="5.85546875" style="17" customWidth="1"/>
    <col min="13569" max="13569" width="4.28515625" style="17" customWidth="1"/>
    <col min="13570" max="13570" width="12.5703125" style="17" customWidth="1"/>
    <col min="13571" max="13574" width="0" style="17" hidden="1" customWidth="1"/>
    <col min="13575" max="13575" width="10.140625" style="17" customWidth="1"/>
    <col min="13576" max="13576" width="11.7109375" style="17" customWidth="1"/>
    <col min="13577" max="13577" width="0" style="17" hidden="1" customWidth="1"/>
    <col min="13578" max="13578" width="8.5703125" style="17" customWidth="1"/>
    <col min="13579" max="13579" width="7.85546875" style="17" customWidth="1"/>
    <col min="13580" max="13580" width="9.5703125" style="17" customWidth="1"/>
    <col min="13581" max="13581" width="0" style="17" hidden="1" customWidth="1"/>
    <col min="13582" max="13582" width="8.140625" style="17" customWidth="1"/>
    <col min="13583" max="13583" width="9.5703125" style="17" customWidth="1"/>
    <col min="13584" max="13584" width="10.85546875" style="17" customWidth="1"/>
    <col min="13585" max="13591" width="10" style="17" customWidth="1"/>
    <col min="13592" max="13592" width="12" style="17" customWidth="1"/>
    <col min="13593" max="13593" width="12.5703125" style="17" customWidth="1"/>
    <col min="13594" max="13594" width="20.140625" style="17" customWidth="1"/>
    <col min="13595" max="13595" width="10.42578125" style="17" bestFit="1" customWidth="1"/>
    <col min="13596" max="13596" width="14.140625" style="17" customWidth="1"/>
    <col min="13597" max="13820" width="9.140625" style="17"/>
    <col min="13821" max="13821" width="5.140625" style="17" customWidth="1"/>
    <col min="13822" max="13822" width="27.140625" style="17" customWidth="1"/>
    <col min="13823" max="13823" width="0" style="17" hidden="1" customWidth="1"/>
    <col min="13824" max="13824" width="5.85546875" style="17" customWidth="1"/>
    <col min="13825" max="13825" width="4.28515625" style="17" customWidth="1"/>
    <col min="13826" max="13826" width="12.5703125" style="17" customWidth="1"/>
    <col min="13827" max="13830" width="0" style="17" hidden="1" customWidth="1"/>
    <col min="13831" max="13831" width="10.140625" style="17" customWidth="1"/>
    <col min="13832" max="13832" width="11.7109375" style="17" customWidth="1"/>
    <col min="13833" max="13833" width="0" style="17" hidden="1" customWidth="1"/>
    <col min="13834" max="13834" width="8.5703125" style="17" customWidth="1"/>
    <col min="13835" max="13835" width="7.85546875" style="17" customWidth="1"/>
    <col min="13836" max="13836" width="9.5703125" style="17" customWidth="1"/>
    <col min="13837" max="13837" width="0" style="17" hidden="1" customWidth="1"/>
    <col min="13838" max="13838" width="8.140625" style="17" customWidth="1"/>
    <col min="13839" max="13839" width="9.5703125" style="17" customWidth="1"/>
    <col min="13840" max="13840" width="10.85546875" style="17" customWidth="1"/>
    <col min="13841" max="13847" width="10" style="17" customWidth="1"/>
    <col min="13848" max="13848" width="12" style="17" customWidth="1"/>
    <col min="13849" max="13849" width="12.5703125" style="17" customWidth="1"/>
    <col min="13850" max="13850" width="20.140625" style="17" customWidth="1"/>
    <col min="13851" max="13851" width="10.42578125" style="17" bestFit="1" customWidth="1"/>
    <col min="13852" max="13852" width="14.140625" style="17" customWidth="1"/>
    <col min="13853" max="14076" width="9.140625" style="17"/>
    <col min="14077" max="14077" width="5.140625" style="17" customWidth="1"/>
    <col min="14078" max="14078" width="27.140625" style="17" customWidth="1"/>
    <col min="14079" max="14079" width="0" style="17" hidden="1" customWidth="1"/>
    <col min="14080" max="14080" width="5.85546875" style="17" customWidth="1"/>
    <col min="14081" max="14081" width="4.28515625" style="17" customWidth="1"/>
    <col min="14082" max="14082" width="12.5703125" style="17" customWidth="1"/>
    <col min="14083" max="14086" width="0" style="17" hidden="1" customWidth="1"/>
    <col min="14087" max="14087" width="10.140625" style="17" customWidth="1"/>
    <col min="14088" max="14088" width="11.7109375" style="17" customWidth="1"/>
    <col min="14089" max="14089" width="0" style="17" hidden="1" customWidth="1"/>
    <col min="14090" max="14090" width="8.5703125" style="17" customWidth="1"/>
    <col min="14091" max="14091" width="7.85546875" style="17" customWidth="1"/>
    <col min="14092" max="14092" width="9.5703125" style="17" customWidth="1"/>
    <col min="14093" max="14093" width="0" style="17" hidden="1" customWidth="1"/>
    <col min="14094" max="14094" width="8.140625" style="17" customWidth="1"/>
    <col min="14095" max="14095" width="9.5703125" style="17" customWidth="1"/>
    <col min="14096" max="14096" width="10.85546875" style="17" customWidth="1"/>
    <col min="14097" max="14103" width="10" style="17" customWidth="1"/>
    <col min="14104" max="14104" width="12" style="17" customWidth="1"/>
    <col min="14105" max="14105" width="12.5703125" style="17" customWidth="1"/>
    <col min="14106" max="14106" width="20.140625" style="17" customWidth="1"/>
    <col min="14107" max="14107" width="10.42578125" style="17" bestFit="1" customWidth="1"/>
    <col min="14108" max="14108" width="14.140625" style="17" customWidth="1"/>
    <col min="14109" max="14332" width="9.140625" style="17"/>
    <col min="14333" max="14333" width="5.140625" style="17" customWidth="1"/>
    <col min="14334" max="14334" width="27.140625" style="17" customWidth="1"/>
    <col min="14335" max="14335" width="0" style="17" hidden="1" customWidth="1"/>
    <col min="14336" max="14336" width="5.85546875" style="17" customWidth="1"/>
    <col min="14337" max="14337" width="4.28515625" style="17" customWidth="1"/>
    <col min="14338" max="14338" width="12.5703125" style="17" customWidth="1"/>
    <col min="14339" max="14342" width="0" style="17" hidden="1" customWidth="1"/>
    <col min="14343" max="14343" width="10.140625" style="17" customWidth="1"/>
    <col min="14344" max="14344" width="11.7109375" style="17" customWidth="1"/>
    <col min="14345" max="14345" width="0" style="17" hidden="1" customWidth="1"/>
    <col min="14346" max="14346" width="8.5703125" style="17" customWidth="1"/>
    <col min="14347" max="14347" width="7.85546875" style="17" customWidth="1"/>
    <col min="14348" max="14348" width="9.5703125" style="17" customWidth="1"/>
    <col min="14349" max="14349" width="0" style="17" hidden="1" customWidth="1"/>
    <col min="14350" max="14350" width="8.140625" style="17" customWidth="1"/>
    <col min="14351" max="14351" width="9.5703125" style="17" customWidth="1"/>
    <col min="14352" max="14352" width="10.85546875" style="17" customWidth="1"/>
    <col min="14353" max="14359" width="10" style="17" customWidth="1"/>
    <col min="14360" max="14360" width="12" style="17" customWidth="1"/>
    <col min="14361" max="14361" width="12.5703125" style="17" customWidth="1"/>
    <col min="14362" max="14362" width="20.140625" style="17" customWidth="1"/>
    <col min="14363" max="14363" width="10.42578125" style="17" bestFit="1" customWidth="1"/>
    <col min="14364" max="14364" width="14.140625" style="17" customWidth="1"/>
    <col min="14365" max="14588" width="9.140625" style="17"/>
    <col min="14589" max="14589" width="5.140625" style="17" customWidth="1"/>
    <col min="14590" max="14590" width="27.140625" style="17" customWidth="1"/>
    <col min="14591" max="14591" width="0" style="17" hidden="1" customWidth="1"/>
    <col min="14592" max="14592" width="5.85546875" style="17" customWidth="1"/>
    <col min="14593" max="14593" width="4.28515625" style="17" customWidth="1"/>
    <col min="14594" max="14594" width="12.5703125" style="17" customWidth="1"/>
    <col min="14595" max="14598" width="0" style="17" hidden="1" customWidth="1"/>
    <col min="14599" max="14599" width="10.140625" style="17" customWidth="1"/>
    <col min="14600" max="14600" width="11.7109375" style="17" customWidth="1"/>
    <col min="14601" max="14601" width="0" style="17" hidden="1" customWidth="1"/>
    <col min="14602" max="14602" width="8.5703125" style="17" customWidth="1"/>
    <col min="14603" max="14603" width="7.85546875" style="17" customWidth="1"/>
    <col min="14604" max="14604" width="9.5703125" style="17" customWidth="1"/>
    <col min="14605" max="14605" width="0" style="17" hidden="1" customWidth="1"/>
    <col min="14606" max="14606" width="8.140625" style="17" customWidth="1"/>
    <col min="14607" max="14607" width="9.5703125" style="17" customWidth="1"/>
    <col min="14608" max="14608" width="10.85546875" style="17" customWidth="1"/>
    <col min="14609" max="14615" width="10" style="17" customWidth="1"/>
    <col min="14616" max="14616" width="12" style="17" customWidth="1"/>
    <col min="14617" max="14617" width="12.5703125" style="17" customWidth="1"/>
    <col min="14618" max="14618" width="20.140625" style="17" customWidth="1"/>
    <col min="14619" max="14619" width="10.42578125" style="17" bestFit="1" customWidth="1"/>
    <col min="14620" max="14620" width="14.140625" style="17" customWidth="1"/>
    <col min="14621" max="14844" width="9.140625" style="17"/>
    <col min="14845" max="14845" width="5.140625" style="17" customWidth="1"/>
    <col min="14846" max="14846" width="27.140625" style="17" customWidth="1"/>
    <col min="14847" max="14847" width="0" style="17" hidden="1" customWidth="1"/>
    <col min="14848" max="14848" width="5.85546875" style="17" customWidth="1"/>
    <col min="14849" max="14849" width="4.28515625" style="17" customWidth="1"/>
    <col min="14850" max="14850" width="12.5703125" style="17" customWidth="1"/>
    <col min="14851" max="14854" width="0" style="17" hidden="1" customWidth="1"/>
    <col min="14855" max="14855" width="10.140625" style="17" customWidth="1"/>
    <col min="14856" max="14856" width="11.7109375" style="17" customWidth="1"/>
    <col min="14857" max="14857" width="0" style="17" hidden="1" customWidth="1"/>
    <col min="14858" max="14858" width="8.5703125" style="17" customWidth="1"/>
    <col min="14859" max="14859" width="7.85546875" style="17" customWidth="1"/>
    <col min="14860" max="14860" width="9.5703125" style="17" customWidth="1"/>
    <col min="14861" max="14861" width="0" style="17" hidden="1" customWidth="1"/>
    <col min="14862" max="14862" width="8.140625" style="17" customWidth="1"/>
    <col min="14863" max="14863" width="9.5703125" style="17" customWidth="1"/>
    <col min="14864" max="14864" width="10.85546875" style="17" customWidth="1"/>
    <col min="14865" max="14871" width="10" style="17" customWidth="1"/>
    <col min="14872" max="14872" width="12" style="17" customWidth="1"/>
    <col min="14873" max="14873" width="12.5703125" style="17" customWidth="1"/>
    <col min="14874" max="14874" width="20.140625" style="17" customWidth="1"/>
    <col min="14875" max="14875" width="10.42578125" style="17" bestFit="1" customWidth="1"/>
    <col min="14876" max="14876" width="14.140625" style="17" customWidth="1"/>
    <col min="14877" max="15100" width="9.140625" style="17"/>
    <col min="15101" max="15101" width="5.140625" style="17" customWidth="1"/>
    <col min="15102" max="15102" width="27.140625" style="17" customWidth="1"/>
    <col min="15103" max="15103" width="0" style="17" hidden="1" customWidth="1"/>
    <col min="15104" max="15104" width="5.85546875" style="17" customWidth="1"/>
    <col min="15105" max="15105" width="4.28515625" style="17" customWidth="1"/>
    <col min="15106" max="15106" width="12.5703125" style="17" customWidth="1"/>
    <col min="15107" max="15110" width="0" style="17" hidden="1" customWidth="1"/>
    <col min="15111" max="15111" width="10.140625" style="17" customWidth="1"/>
    <col min="15112" max="15112" width="11.7109375" style="17" customWidth="1"/>
    <col min="15113" max="15113" width="0" style="17" hidden="1" customWidth="1"/>
    <col min="15114" max="15114" width="8.5703125" style="17" customWidth="1"/>
    <col min="15115" max="15115" width="7.85546875" style="17" customWidth="1"/>
    <col min="15116" max="15116" width="9.5703125" style="17" customWidth="1"/>
    <col min="15117" max="15117" width="0" style="17" hidden="1" customWidth="1"/>
    <col min="15118" max="15118" width="8.140625" style="17" customWidth="1"/>
    <col min="15119" max="15119" width="9.5703125" style="17" customWidth="1"/>
    <col min="15120" max="15120" width="10.85546875" style="17" customWidth="1"/>
    <col min="15121" max="15127" width="10" style="17" customWidth="1"/>
    <col min="15128" max="15128" width="12" style="17" customWidth="1"/>
    <col min="15129" max="15129" width="12.5703125" style="17" customWidth="1"/>
    <col min="15130" max="15130" width="20.140625" style="17" customWidth="1"/>
    <col min="15131" max="15131" width="10.42578125" style="17" bestFit="1" customWidth="1"/>
    <col min="15132" max="15132" width="14.140625" style="17" customWidth="1"/>
    <col min="15133" max="15356" width="9.140625" style="17"/>
    <col min="15357" max="15357" width="5.140625" style="17" customWidth="1"/>
    <col min="15358" max="15358" width="27.140625" style="17" customWidth="1"/>
    <col min="15359" max="15359" width="0" style="17" hidden="1" customWidth="1"/>
    <col min="15360" max="15360" width="5.85546875" style="17" customWidth="1"/>
    <col min="15361" max="15361" width="4.28515625" style="17" customWidth="1"/>
    <col min="15362" max="15362" width="12.5703125" style="17" customWidth="1"/>
    <col min="15363" max="15366" width="0" style="17" hidden="1" customWidth="1"/>
    <col min="15367" max="15367" width="10.140625" style="17" customWidth="1"/>
    <col min="15368" max="15368" width="11.7109375" style="17" customWidth="1"/>
    <col min="15369" max="15369" width="0" style="17" hidden="1" customWidth="1"/>
    <col min="15370" max="15370" width="8.5703125" style="17" customWidth="1"/>
    <col min="15371" max="15371" width="7.85546875" style="17" customWidth="1"/>
    <col min="15372" max="15372" width="9.5703125" style="17" customWidth="1"/>
    <col min="15373" max="15373" width="0" style="17" hidden="1" customWidth="1"/>
    <col min="15374" max="15374" width="8.140625" style="17" customWidth="1"/>
    <col min="15375" max="15375" width="9.5703125" style="17" customWidth="1"/>
    <col min="15376" max="15376" width="10.85546875" style="17" customWidth="1"/>
    <col min="15377" max="15383" width="10" style="17" customWidth="1"/>
    <col min="15384" max="15384" width="12" style="17" customWidth="1"/>
    <col min="15385" max="15385" width="12.5703125" style="17" customWidth="1"/>
    <col min="15386" max="15386" width="20.140625" style="17" customWidth="1"/>
    <col min="15387" max="15387" width="10.42578125" style="17" bestFit="1" customWidth="1"/>
    <col min="15388" max="15388" width="14.140625" style="17" customWidth="1"/>
    <col min="15389" max="15612" width="9.140625" style="17"/>
    <col min="15613" max="15613" width="5.140625" style="17" customWidth="1"/>
    <col min="15614" max="15614" width="27.140625" style="17" customWidth="1"/>
    <col min="15615" max="15615" width="0" style="17" hidden="1" customWidth="1"/>
    <col min="15616" max="15616" width="5.85546875" style="17" customWidth="1"/>
    <col min="15617" max="15617" width="4.28515625" style="17" customWidth="1"/>
    <col min="15618" max="15618" width="12.5703125" style="17" customWidth="1"/>
    <col min="15619" max="15622" width="0" style="17" hidden="1" customWidth="1"/>
    <col min="15623" max="15623" width="10.140625" style="17" customWidth="1"/>
    <col min="15624" max="15624" width="11.7109375" style="17" customWidth="1"/>
    <col min="15625" max="15625" width="0" style="17" hidden="1" customWidth="1"/>
    <col min="15626" max="15626" width="8.5703125" style="17" customWidth="1"/>
    <col min="15627" max="15627" width="7.85546875" style="17" customWidth="1"/>
    <col min="15628" max="15628" width="9.5703125" style="17" customWidth="1"/>
    <col min="15629" max="15629" width="0" style="17" hidden="1" customWidth="1"/>
    <col min="15630" max="15630" width="8.140625" style="17" customWidth="1"/>
    <col min="15631" max="15631" width="9.5703125" style="17" customWidth="1"/>
    <col min="15632" max="15632" width="10.85546875" style="17" customWidth="1"/>
    <col min="15633" max="15639" width="10" style="17" customWidth="1"/>
    <col min="15640" max="15640" width="12" style="17" customWidth="1"/>
    <col min="15641" max="15641" width="12.5703125" style="17" customWidth="1"/>
    <col min="15642" max="15642" width="20.140625" style="17" customWidth="1"/>
    <col min="15643" max="15643" width="10.42578125" style="17" bestFit="1" customWidth="1"/>
    <col min="15644" max="15644" width="14.140625" style="17" customWidth="1"/>
    <col min="15645" max="15868" width="9.140625" style="17"/>
    <col min="15869" max="15869" width="5.140625" style="17" customWidth="1"/>
    <col min="15870" max="15870" width="27.140625" style="17" customWidth="1"/>
    <col min="15871" max="15871" width="0" style="17" hidden="1" customWidth="1"/>
    <col min="15872" max="15872" width="5.85546875" style="17" customWidth="1"/>
    <col min="15873" max="15873" width="4.28515625" style="17" customWidth="1"/>
    <col min="15874" max="15874" width="12.5703125" style="17" customWidth="1"/>
    <col min="15875" max="15878" width="0" style="17" hidden="1" customWidth="1"/>
    <col min="15879" max="15879" width="10.140625" style="17" customWidth="1"/>
    <col min="15880" max="15880" width="11.7109375" style="17" customWidth="1"/>
    <col min="15881" max="15881" width="0" style="17" hidden="1" customWidth="1"/>
    <col min="15882" max="15882" width="8.5703125" style="17" customWidth="1"/>
    <col min="15883" max="15883" width="7.85546875" style="17" customWidth="1"/>
    <col min="15884" max="15884" width="9.5703125" style="17" customWidth="1"/>
    <col min="15885" max="15885" width="0" style="17" hidden="1" customWidth="1"/>
    <col min="15886" max="15886" width="8.140625" style="17" customWidth="1"/>
    <col min="15887" max="15887" width="9.5703125" style="17" customWidth="1"/>
    <col min="15888" max="15888" width="10.85546875" style="17" customWidth="1"/>
    <col min="15889" max="15895" width="10" style="17" customWidth="1"/>
    <col min="15896" max="15896" width="12" style="17" customWidth="1"/>
    <col min="15897" max="15897" width="12.5703125" style="17" customWidth="1"/>
    <col min="15898" max="15898" width="20.140625" style="17" customWidth="1"/>
    <col min="15899" max="15899" width="10.42578125" style="17" bestFit="1" customWidth="1"/>
    <col min="15900" max="15900" width="14.140625" style="17" customWidth="1"/>
    <col min="15901" max="16124" width="9.140625" style="17"/>
    <col min="16125" max="16125" width="5.140625" style="17" customWidth="1"/>
    <col min="16126" max="16126" width="27.140625" style="17" customWidth="1"/>
    <col min="16127" max="16127" width="0" style="17" hidden="1" customWidth="1"/>
    <col min="16128" max="16128" width="5.85546875" style="17" customWidth="1"/>
    <col min="16129" max="16129" width="4.28515625" style="17" customWidth="1"/>
    <col min="16130" max="16130" width="12.5703125" style="17" customWidth="1"/>
    <col min="16131" max="16134" width="0" style="17" hidden="1" customWidth="1"/>
    <col min="16135" max="16135" width="10.140625" style="17" customWidth="1"/>
    <col min="16136" max="16136" width="11.7109375" style="17" customWidth="1"/>
    <col min="16137" max="16137" width="0" style="17" hidden="1" customWidth="1"/>
    <col min="16138" max="16138" width="8.5703125" style="17" customWidth="1"/>
    <col min="16139" max="16139" width="7.85546875" style="17" customWidth="1"/>
    <col min="16140" max="16140" width="9.5703125" style="17" customWidth="1"/>
    <col min="16141" max="16141" width="0" style="17" hidden="1" customWidth="1"/>
    <col min="16142" max="16142" width="8.140625" style="17" customWidth="1"/>
    <col min="16143" max="16143" width="9.5703125" style="17" customWidth="1"/>
    <col min="16144" max="16144" width="10.85546875" style="17" customWidth="1"/>
    <col min="16145" max="16151" width="10" style="17" customWidth="1"/>
    <col min="16152" max="16152" width="12" style="17" customWidth="1"/>
    <col min="16153" max="16153" width="12.5703125" style="17" customWidth="1"/>
    <col min="16154" max="16154" width="20.140625" style="17" customWidth="1"/>
    <col min="16155" max="16155" width="10.42578125" style="17" bestFit="1" customWidth="1"/>
    <col min="16156" max="16156" width="14.140625" style="17" customWidth="1"/>
    <col min="16157" max="16384" width="9.140625" style="17"/>
  </cols>
  <sheetData>
    <row r="1" spans="1:28" ht="20.25" customHeight="1" x14ac:dyDescent="0.25">
      <c r="H1" s="596" t="s">
        <v>206</v>
      </c>
      <c r="I1" s="596"/>
      <c r="J1" s="596"/>
      <c r="K1" s="596"/>
      <c r="L1" s="596"/>
      <c r="M1" s="596"/>
      <c r="N1" s="596"/>
      <c r="O1" s="596"/>
      <c r="P1" s="596"/>
      <c r="Q1" s="596"/>
      <c r="R1" s="596"/>
      <c r="S1" s="596"/>
      <c r="T1" s="596"/>
      <c r="U1" s="596"/>
      <c r="V1" s="596"/>
      <c r="W1" s="596"/>
    </row>
    <row r="2" spans="1:28" s="142" customFormat="1" ht="29.25" customHeight="1" x14ac:dyDescent="0.2">
      <c r="A2" s="597" t="s">
        <v>230</v>
      </c>
      <c r="B2" s="597"/>
      <c r="C2" s="597"/>
      <c r="D2" s="597"/>
      <c r="E2" s="597"/>
      <c r="F2" s="597"/>
      <c r="G2" s="597"/>
      <c r="H2" s="597"/>
      <c r="I2" s="597"/>
      <c r="J2" s="597"/>
      <c r="K2" s="597"/>
      <c r="L2" s="597"/>
      <c r="M2" s="597"/>
      <c r="N2" s="597"/>
      <c r="O2" s="597"/>
      <c r="P2" s="597"/>
      <c r="Q2" s="597"/>
      <c r="R2" s="597"/>
      <c r="S2" s="597"/>
      <c r="T2" s="597"/>
      <c r="U2" s="597"/>
      <c r="V2" s="597"/>
      <c r="W2" s="597"/>
      <c r="X2" s="141"/>
      <c r="Y2" s="141"/>
    </row>
    <row r="3" spans="1:28" s="142" customFormat="1" ht="16.5" customHeight="1" x14ac:dyDescent="0.2">
      <c r="A3" s="598" t="s">
        <v>622</v>
      </c>
      <c r="B3" s="598"/>
      <c r="C3" s="598"/>
      <c r="D3" s="598"/>
      <c r="E3" s="598"/>
      <c r="F3" s="598"/>
      <c r="G3" s="598"/>
      <c r="H3" s="598"/>
      <c r="I3" s="598"/>
      <c r="J3" s="598"/>
      <c r="K3" s="598"/>
      <c r="L3" s="598"/>
      <c r="M3" s="598"/>
      <c r="N3" s="598"/>
      <c r="O3" s="598"/>
      <c r="P3" s="598"/>
      <c r="Q3" s="598"/>
      <c r="R3" s="598"/>
      <c r="S3" s="598"/>
      <c r="T3" s="598"/>
      <c r="U3" s="598"/>
      <c r="V3" s="598"/>
      <c r="W3" s="598"/>
      <c r="X3" s="143"/>
      <c r="Y3" s="143">
        <f>56000-39100</f>
        <v>16900</v>
      </c>
    </row>
    <row r="4" spans="1:28" s="142" customFormat="1" ht="15.75" x14ac:dyDescent="0.2">
      <c r="A4" s="599"/>
      <c r="B4" s="599"/>
      <c r="C4" s="599"/>
      <c r="D4" s="599"/>
      <c r="E4" s="599"/>
      <c r="F4" s="599"/>
      <c r="G4" s="176"/>
      <c r="H4" s="176"/>
      <c r="I4" s="176"/>
      <c r="J4" s="176"/>
      <c r="K4" s="176"/>
      <c r="L4" s="176"/>
      <c r="M4" s="176"/>
      <c r="N4" s="176"/>
      <c r="O4" s="176"/>
      <c r="P4" s="176"/>
      <c r="Q4" s="176"/>
      <c r="R4" s="176"/>
      <c r="S4" s="176"/>
      <c r="T4" s="176"/>
      <c r="U4" s="602" t="s">
        <v>197</v>
      </c>
      <c r="V4" s="602"/>
      <c r="W4" s="602"/>
      <c r="X4" s="144"/>
      <c r="Y4" s="144"/>
    </row>
    <row r="5" spans="1:28" s="145" customFormat="1" ht="19.5" customHeight="1" x14ac:dyDescent="0.2">
      <c r="A5" s="600" t="s">
        <v>35</v>
      </c>
      <c r="B5" s="584" t="s">
        <v>34</v>
      </c>
      <c r="C5" s="600" t="s">
        <v>152</v>
      </c>
      <c r="D5" s="601" t="s">
        <v>33</v>
      </c>
      <c r="E5" s="594" t="s">
        <v>32</v>
      </c>
      <c r="F5" s="594" t="s">
        <v>31</v>
      </c>
      <c r="G5" s="182"/>
      <c r="H5" s="578" t="s">
        <v>174</v>
      </c>
      <c r="I5" s="579"/>
      <c r="J5" s="579"/>
      <c r="K5" s="579"/>
      <c r="L5" s="579"/>
      <c r="M5" s="580"/>
      <c r="N5" s="594" t="s">
        <v>233</v>
      </c>
      <c r="O5" s="578" t="s">
        <v>145</v>
      </c>
      <c r="P5" s="579"/>
      <c r="Q5" s="579"/>
      <c r="R5" s="579"/>
      <c r="S5" s="579"/>
      <c r="T5" s="579"/>
      <c r="U5" s="580"/>
      <c r="V5" s="584" t="s">
        <v>141</v>
      </c>
      <c r="W5" s="587" t="s">
        <v>30</v>
      </c>
      <c r="X5" s="595" t="s">
        <v>189</v>
      </c>
      <c r="Y5" s="577" t="s">
        <v>188</v>
      </c>
    </row>
    <row r="6" spans="1:28" s="146" customFormat="1" ht="16.5" customHeight="1" x14ac:dyDescent="0.2">
      <c r="A6" s="600"/>
      <c r="B6" s="585"/>
      <c r="C6" s="600"/>
      <c r="D6" s="601"/>
      <c r="E6" s="594"/>
      <c r="F6" s="594"/>
      <c r="G6" s="183"/>
      <c r="H6" s="581"/>
      <c r="I6" s="582"/>
      <c r="J6" s="582"/>
      <c r="K6" s="582"/>
      <c r="L6" s="582"/>
      <c r="M6" s="583"/>
      <c r="N6" s="594"/>
      <c r="O6" s="581"/>
      <c r="P6" s="582"/>
      <c r="Q6" s="582"/>
      <c r="R6" s="582"/>
      <c r="S6" s="582"/>
      <c r="T6" s="582"/>
      <c r="U6" s="583"/>
      <c r="V6" s="585"/>
      <c r="W6" s="587"/>
      <c r="X6" s="595"/>
      <c r="Y6" s="577"/>
    </row>
    <row r="7" spans="1:28" s="146" customFormat="1" ht="20.25" customHeight="1" x14ac:dyDescent="0.2">
      <c r="A7" s="600"/>
      <c r="B7" s="585"/>
      <c r="C7" s="600"/>
      <c r="D7" s="601"/>
      <c r="E7" s="594"/>
      <c r="F7" s="594"/>
      <c r="G7" s="178"/>
      <c r="H7" s="584" t="s">
        <v>175</v>
      </c>
      <c r="I7" s="588" t="s">
        <v>40</v>
      </c>
      <c r="J7" s="589"/>
      <c r="K7" s="589"/>
      <c r="L7" s="589"/>
      <c r="M7" s="590"/>
      <c r="N7" s="594"/>
      <c r="O7" s="584" t="s">
        <v>182</v>
      </c>
      <c r="P7" s="588" t="s">
        <v>40</v>
      </c>
      <c r="Q7" s="589"/>
      <c r="R7" s="589"/>
      <c r="S7" s="589"/>
      <c r="T7" s="589"/>
      <c r="U7" s="590"/>
      <c r="V7" s="585"/>
      <c r="W7" s="587"/>
      <c r="X7" s="595"/>
      <c r="Y7" s="577"/>
    </row>
    <row r="8" spans="1:28" s="146" customFormat="1" ht="12.75" customHeight="1" x14ac:dyDescent="0.2">
      <c r="A8" s="600"/>
      <c r="B8" s="585"/>
      <c r="C8" s="600"/>
      <c r="D8" s="601"/>
      <c r="E8" s="594"/>
      <c r="F8" s="594"/>
      <c r="G8" s="179"/>
      <c r="H8" s="585"/>
      <c r="I8" s="591" t="s">
        <v>176</v>
      </c>
      <c r="J8" s="591" t="s">
        <v>177</v>
      </c>
      <c r="K8" s="591" t="s">
        <v>178</v>
      </c>
      <c r="L8" s="592" t="s">
        <v>179</v>
      </c>
      <c r="M8" s="591" t="s">
        <v>24</v>
      </c>
      <c r="N8" s="594"/>
      <c r="O8" s="585"/>
      <c r="P8" s="584" t="s">
        <v>147</v>
      </c>
      <c r="Q8" s="584" t="s">
        <v>148</v>
      </c>
      <c r="R8" s="584" t="s">
        <v>149</v>
      </c>
      <c r="S8" s="584" t="s">
        <v>318</v>
      </c>
      <c r="T8" s="584" t="s">
        <v>150</v>
      </c>
      <c r="U8" s="584" t="s">
        <v>89</v>
      </c>
      <c r="V8" s="585"/>
      <c r="W8" s="587"/>
      <c r="X8" s="595"/>
      <c r="Y8" s="577"/>
    </row>
    <row r="9" spans="1:28" s="146" customFormat="1" ht="45" customHeight="1" x14ac:dyDescent="0.2">
      <c r="A9" s="600"/>
      <c r="B9" s="585"/>
      <c r="C9" s="600"/>
      <c r="D9" s="601"/>
      <c r="E9" s="594"/>
      <c r="F9" s="594"/>
      <c r="G9" s="185"/>
      <c r="H9" s="586"/>
      <c r="I9" s="591"/>
      <c r="J9" s="591"/>
      <c r="K9" s="591"/>
      <c r="L9" s="593"/>
      <c r="M9" s="591"/>
      <c r="N9" s="594"/>
      <c r="O9" s="586"/>
      <c r="P9" s="586"/>
      <c r="Q9" s="586"/>
      <c r="R9" s="586"/>
      <c r="S9" s="586"/>
      <c r="T9" s="586"/>
      <c r="U9" s="586"/>
      <c r="V9" s="586"/>
      <c r="W9" s="587"/>
      <c r="X9" s="595"/>
      <c r="Y9" s="577"/>
      <c r="Z9" s="147">
        <v>3333333</v>
      </c>
    </row>
    <row r="10" spans="1:28" s="146" customFormat="1" ht="45" hidden="1" customHeight="1" x14ac:dyDescent="0.2">
      <c r="A10" s="177">
        <v>1</v>
      </c>
      <c r="B10" s="179">
        <v>2</v>
      </c>
      <c r="C10" s="177">
        <v>3</v>
      </c>
      <c r="D10" s="180">
        <v>4</v>
      </c>
      <c r="E10" s="181">
        <v>5</v>
      </c>
      <c r="F10" s="181">
        <v>6</v>
      </c>
      <c r="G10" s="185">
        <v>7</v>
      </c>
      <c r="H10" s="185">
        <v>8</v>
      </c>
      <c r="I10" s="186">
        <v>9</v>
      </c>
      <c r="J10" s="186">
        <v>10</v>
      </c>
      <c r="K10" s="186">
        <v>11</v>
      </c>
      <c r="L10" s="187">
        <v>12</v>
      </c>
      <c r="M10" s="186">
        <v>13</v>
      </c>
      <c r="N10" s="181">
        <v>14</v>
      </c>
      <c r="O10" s="185">
        <v>15</v>
      </c>
      <c r="P10" s="185">
        <v>16</v>
      </c>
      <c r="Q10" s="185">
        <v>17</v>
      </c>
      <c r="R10" s="185">
        <v>18</v>
      </c>
      <c r="S10" s="185"/>
      <c r="T10" s="185">
        <v>19</v>
      </c>
      <c r="U10" s="185">
        <v>20</v>
      </c>
      <c r="V10" s="185">
        <v>21</v>
      </c>
      <c r="W10" s="184">
        <v>22</v>
      </c>
      <c r="X10" s="189"/>
      <c r="Y10" s="189"/>
      <c r="Z10" s="147"/>
    </row>
    <row r="11" spans="1:28" s="16" customFormat="1" ht="27" customHeight="1" x14ac:dyDescent="0.2">
      <c r="A11" s="11"/>
      <c r="B11" s="174" t="s">
        <v>41</v>
      </c>
      <c r="C11" s="15"/>
      <c r="D11" s="41"/>
      <c r="E11" s="148">
        <f>E12+E21+E69</f>
        <v>169</v>
      </c>
      <c r="F11" s="148">
        <f t="shared" ref="F11:V11" si="0">F12+F21+F69</f>
        <v>2647836.6229999997</v>
      </c>
      <c r="G11" s="148" t="e">
        <f t="shared" si="0"/>
        <v>#REF!</v>
      </c>
      <c r="H11" s="148" t="e">
        <f t="shared" si="0"/>
        <v>#REF!</v>
      </c>
      <c r="I11" s="148" t="e">
        <f t="shared" si="0"/>
        <v>#REF!</v>
      </c>
      <c r="J11" s="148" t="e">
        <f t="shared" si="0"/>
        <v>#REF!</v>
      </c>
      <c r="K11" s="148" t="e">
        <f t="shared" si="0"/>
        <v>#REF!</v>
      </c>
      <c r="L11" s="148" t="e">
        <f t="shared" si="0"/>
        <v>#REF!</v>
      </c>
      <c r="M11" s="148" t="e">
        <f t="shared" si="0"/>
        <v>#REF!</v>
      </c>
      <c r="N11" s="148">
        <f t="shared" si="0"/>
        <v>505462</v>
      </c>
      <c r="O11" s="148">
        <f t="shared" si="0"/>
        <v>964077</v>
      </c>
      <c r="P11" s="148">
        <f t="shared" si="0"/>
        <v>96048</v>
      </c>
      <c r="Q11" s="148">
        <f t="shared" si="0"/>
        <v>35300</v>
      </c>
      <c r="R11" s="148">
        <f t="shared" si="0"/>
        <v>489999.821</v>
      </c>
      <c r="S11" s="148">
        <f t="shared" si="0"/>
        <v>251744.179</v>
      </c>
      <c r="T11" s="148">
        <f t="shared" si="0"/>
        <v>70000</v>
      </c>
      <c r="U11" s="148">
        <f t="shared" si="0"/>
        <v>20985</v>
      </c>
      <c r="V11" s="148" t="e">
        <f t="shared" si="0"/>
        <v>#REF!</v>
      </c>
      <c r="W11" s="148"/>
      <c r="X11" s="168">
        <f>R11-490000</f>
        <v>-0.17900000000372529</v>
      </c>
      <c r="Y11" s="168">
        <f>F11-N11</f>
        <v>2142374.6229999997</v>
      </c>
      <c r="Z11" s="19">
        <f>R11-490000</f>
        <v>-0.17900000000372529</v>
      </c>
      <c r="AB11" s="16">
        <f>5400/1.2</f>
        <v>4500</v>
      </c>
    </row>
    <row r="12" spans="1:28" s="16" customFormat="1" ht="28.5" x14ac:dyDescent="0.2">
      <c r="A12" s="11" t="s">
        <v>76</v>
      </c>
      <c r="B12" s="175" t="s">
        <v>354</v>
      </c>
      <c r="C12" s="157"/>
      <c r="D12" s="41"/>
      <c r="E12" s="148">
        <f>E13+E17</f>
        <v>72</v>
      </c>
      <c r="F12" s="148">
        <f t="shared" ref="F12:V12" si="1">F13+F17</f>
        <v>2094154.257</v>
      </c>
      <c r="G12" s="148" t="e">
        <f t="shared" si="1"/>
        <v>#REF!</v>
      </c>
      <c r="H12" s="148" t="e">
        <f t="shared" si="1"/>
        <v>#REF!</v>
      </c>
      <c r="I12" s="148" t="e">
        <f t="shared" si="1"/>
        <v>#REF!</v>
      </c>
      <c r="J12" s="148" t="e">
        <f t="shared" si="1"/>
        <v>#REF!</v>
      </c>
      <c r="K12" s="148" t="e">
        <f t="shared" si="1"/>
        <v>#REF!</v>
      </c>
      <c r="L12" s="148" t="e">
        <f t="shared" si="1"/>
        <v>#REF!</v>
      </c>
      <c r="M12" s="148" t="e">
        <f t="shared" si="1"/>
        <v>#REF!</v>
      </c>
      <c r="N12" s="148">
        <f t="shared" si="1"/>
        <v>381037</v>
      </c>
      <c r="O12" s="148">
        <f t="shared" si="1"/>
        <v>695166</v>
      </c>
      <c r="P12" s="148">
        <f t="shared" si="1"/>
        <v>70750</v>
      </c>
      <c r="Q12" s="148">
        <f t="shared" si="1"/>
        <v>13400</v>
      </c>
      <c r="R12" s="148">
        <f t="shared" si="1"/>
        <v>359271.821</v>
      </c>
      <c r="S12" s="148">
        <f t="shared" si="1"/>
        <v>251744.179</v>
      </c>
      <c r="T12" s="148">
        <f t="shared" si="1"/>
        <v>0</v>
      </c>
      <c r="U12" s="148">
        <f t="shared" si="1"/>
        <v>0</v>
      </c>
      <c r="V12" s="148" t="e">
        <f t="shared" si="1"/>
        <v>#REF!</v>
      </c>
      <c r="W12" s="148"/>
      <c r="X12" s="168">
        <f>R12+R21</f>
        <v>419999.821</v>
      </c>
      <c r="Y12" s="168">
        <f>F12-N12</f>
        <v>1713117.257</v>
      </c>
      <c r="Z12" s="19" t="e">
        <f>#REF!+#REF!</f>
        <v>#REF!</v>
      </c>
    </row>
    <row r="13" spans="1:28" s="435" customFormat="1" ht="15.75" x14ac:dyDescent="0.2">
      <c r="A13" s="368"/>
      <c r="B13" s="428" t="s">
        <v>90</v>
      </c>
      <c r="C13" s="429"/>
      <c r="D13" s="430"/>
      <c r="E13" s="431">
        <f>SUM(E14:E16)</f>
        <v>18</v>
      </c>
      <c r="F13" s="431">
        <f t="shared" ref="F13:V13" si="2">SUM(F14:F16)</f>
        <v>1552250.9040000001</v>
      </c>
      <c r="G13" s="431" t="e">
        <f t="shared" si="2"/>
        <v>#REF!</v>
      </c>
      <c r="H13" s="431" t="e">
        <f t="shared" si="2"/>
        <v>#REF!</v>
      </c>
      <c r="I13" s="431" t="e">
        <f t="shared" si="2"/>
        <v>#REF!</v>
      </c>
      <c r="J13" s="431" t="e">
        <f t="shared" si="2"/>
        <v>#REF!</v>
      </c>
      <c r="K13" s="431" t="e">
        <f t="shared" si="2"/>
        <v>#REF!</v>
      </c>
      <c r="L13" s="431" t="e">
        <f t="shared" si="2"/>
        <v>#REF!</v>
      </c>
      <c r="M13" s="431" t="e">
        <f t="shared" si="2"/>
        <v>#REF!</v>
      </c>
      <c r="N13" s="431">
        <f t="shared" si="2"/>
        <v>356460</v>
      </c>
      <c r="O13" s="431">
        <f t="shared" si="2"/>
        <v>307390</v>
      </c>
      <c r="P13" s="431">
        <f t="shared" si="2"/>
        <v>70750</v>
      </c>
      <c r="Q13" s="431">
        <f t="shared" si="2"/>
        <v>13400</v>
      </c>
      <c r="R13" s="431">
        <f t="shared" si="2"/>
        <v>223240</v>
      </c>
      <c r="S13" s="431">
        <f t="shared" si="2"/>
        <v>0</v>
      </c>
      <c r="T13" s="431">
        <f t="shared" si="2"/>
        <v>0</v>
      </c>
      <c r="U13" s="431">
        <f t="shared" si="2"/>
        <v>0</v>
      </c>
      <c r="V13" s="431">
        <f t="shared" si="2"/>
        <v>686150</v>
      </c>
      <c r="W13" s="432" t="s">
        <v>198</v>
      </c>
      <c r="X13" s="433"/>
      <c r="Y13" s="433"/>
      <c r="Z13" s="434"/>
    </row>
    <row r="14" spans="1:28" s="111" customFormat="1" ht="15.75" x14ac:dyDescent="0.2">
      <c r="A14" s="193" t="s">
        <v>194</v>
      </c>
      <c r="B14" s="24" t="s">
        <v>186</v>
      </c>
      <c r="C14" s="158"/>
      <c r="D14" s="150"/>
      <c r="E14" s="125">
        <f>'CT huyện -2024'!F12</f>
        <v>10</v>
      </c>
      <c r="F14" s="125">
        <f>'CT huyện -2024'!G12</f>
        <v>1054750.9040000001</v>
      </c>
      <c r="G14" s="125" t="e">
        <f>'CT huyện -2024'!#REF!</f>
        <v>#REF!</v>
      </c>
      <c r="H14" s="125" t="e">
        <f>'CT huyện -2024'!#REF!</f>
        <v>#REF!</v>
      </c>
      <c r="I14" s="125" t="e">
        <f>'CT huyện -2024'!#REF!</f>
        <v>#REF!</v>
      </c>
      <c r="J14" s="125" t="e">
        <f>'CT huyện -2024'!#REF!</f>
        <v>#REF!</v>
      </c>
      <c r="K14" s="125" t="e">
        <f>'CT huyện -2024'!#REF!</f>
        <v>#REF!</v>
      </c>
      <c r="L14" s="125" t="e">
        <f>'CT huyện -2024'!#REF!</f>
        <v>#REF!</v>
      </c>
      <c r="M14" s="125" t="e">
        <f>'CT huyện -2024'!#REF!</f>
        <v>#REF!</v>
      </c>
      <c r="N14" s="125">
        <f>'CT huyện -2024'!H12</f>
        <v>343260</v>
      </c>
      <c r="O14" s="125">
        <f>'CT huyện -2024'!L12</f>
        <v>243390</v>
      </c>
      <c r="P14" s="125">
        <f>'CT huyện -2024'!M12</f>
        <v>70750</v>
      </c>
      <c r="Q14" s="125">
        <f>'CT huyện -2024'!N12</f>
        <v>13400</v>
      </c>
      <c r="R14" s="125">
        <f>'CT huyện -2024'!O12</f>
        <v>159240</v>
      </c>
      <c r="S14" s="125">
        <f>'CT huyện -2024'!P12</f>
        <v>0</v>
      </c>
      <c r="T14" s="125">
        <f>'CT huyện -2024'!Q12</f>
        <v>0</v>
      </c>
      <c r="U14" s="125">
        <f>'CT huyện -2024'!R12</f>
        <v>0</v>
      </c>
      <c r="V14" s="125">
        <f>'CT huyện -2024'!S12</f>
        <v>586650</v>
      </c>
      <c r="W14" s="125">
        <f>'CT huyện -2024'!T12</f>
        <v>0</v>
      </c>
      <c r="X14" s="457">
        <f>R12+R21</f>
        <v>419999.821</v>
      </c>
      <c r="Y14" s="168">
        <f t="shared" ref="Y14:Y23" si="3">F14-N14</f>
        <v>711490.9040000001</v>
      </c>
      <c r="Z14" s="149" t="e">
        <f>+#REF!+#REF!+#REF!+#REF!</f>
        <v>#REF!</v>
      </c>
      <c r="AA14" s="149">
        <f t="shared" ref="AA14:AA20" si="4">+F14*70%</f>
        <v>738325.63280000002</v>
      </c>
    </row>
    <row r="15" spans="1:28" s="111" customFormat="1" ht="21.75" customHeight="1" x14ac:dyDescent="0.2">
      <c r="A15" s="193" t="s">
        <v>194</v>
      </c>
      <c r="B15" s="24" t="s">
        <v>317</v>
      </c>
      <c r="C15" s="158"/>
      <c r="D15" s="150"/>
      <c r="E15" s="125">
        <f>'CT huyện -2024'!F23</f>
        <v>5</v>
      </c>
      <c r="F15" s="125">
        <f>'CT huyện -2024'!G23</f>
        <v>189500</v>
      </c>
      <c r="G15" s="125" t="e">
        <f>'CT huyện -2024'!#REF!</f>
        <v>#REF!</v>
      </c>
      <c r="H15" s="125" t="e">
        <f>'CT huyện -2024'!#REF!</f>
        <v>#REF!</v>
      </c>
      <c r="I15" s="125" t="e">
        <f>'CT huyện -2024'!#REF!</f>
        <v>#REF!</v>
      </c>
      <c r="J15" s="125" t="e">
        <f>'CT huyện -2024'!#REF!</f>
        <v>#REF!</v>
      </c>
      <c r="K15" s="125" t="e">
        <f>'CT huyện -2024'!#REF!</f>
        <v>#REF!</v>
      </c>
      <c r="L15" s="125" t="e">
        <f>'CT huyện -2024'!#REF!</f>
        <v>#REF!</v>
      </c>
      <c r="M15" s="125" t="e">
        <f>'CT huyện -2024'!#REF!</f>
        <v>#REF!</v>
      </c>
      <c r="N15" s="125">
        <f>'CT huyện -2024'!H23</f>
        <v>11200</v>
      </c>
      <c r="O15" s="125">
        <f>'CT huyện -2024'!L23</f>
        <v>52000</v>
      </c>
      <c r="P15" s="125">
        <f>'CT huyện -2024'!M23</f>
        <v>0</v>
      </c>
      <c r="Q15" s="125">
        <f>'CT huyện -2024'!N23</f>
        <v>0</v>
      </c>
      <c r="R15" s="125">
        <f>'CT huyện -2024'!O23</f>
        <v>52000</v>
      </c>
      <c r="S15" s="125">
        <f>'CT huyện -2024'!P22</f>
        <v>0</v>
      </c>
      <c r="T15" s="125">
        <f>'CT huyện -2024'!Q22</f>
        <v>0</v>
      </c>
      <c r="U15" s="125">
        <f>'CT huyện -2024'!R22</f>
        <v>0</v>
      </c>
      <c r="V15" s="125">
        <f>'CT huyện -2024'!S22</f>
        <v>36300</v>
      </c>
      <c r="W15" s="125"/>
      <c r="X15" s="170">
        <v>490000</v>
      </c>
      <c r="Y15" s="168">
        <f t="shared" ref="Y15" si="5">F15-N15</f>
        <v>178300</v>
      </c>
      <c r="Z15" s="149" t="e">
        <f>+#REF!+#REF!+#REF!+#REF!</f>
        <v>#REF!</v>
      </c>
      <c r="AA15" s="149">
        <f t="shared" si="4"/>
        <v>132650</v>
      </c>
    </row>
    <row r="16" spans="1:28" s="111" customFormat="1" ht="15.75" x14ac:dyDescent="0.2">
      <c r="A16" s="193" t="s">
        <v>194</v>
      </c>
      <c r="B16" s="24" t="s">
        <v>296</v>
      </c>
      <c r="C16" s="158"/>
      <c r="D16" s="150"/>
      <c r="E16" s="125">
        <f>'CT huyện -2024'!F29</f>
        <v>3</v>
      </c>
      <c r="F16" s="125">
        <f>'CT huyện -2024'!G29</f>
        <v>308000</v>
      </c>
      <c r="G16" s="125" t="e">
        <f>'CT huyện -2024'!#REF!</f>
        <v>#REF!</v>
      </c>
      <c r="H16" s="125" t="e">
        <f>'CT huyện -2024'!#REF!</f>
        <v>#REF!</v>
      </c>
      <c r="I16" s="125" t="e">
        <f>'CT huyện -2024'!#REF!</f>
        <v>#REF!</v>
      </c>
      <c r="J16" s="125" t="e">
        <f>'CT huyện -2024'!#REF!</f>
        <v>#REF!</v>
      </c>
      <c r="K16" s="125" t="e">
        <f>'CT huyện -2024'!#REF!</f>
        <v>#REF!</v>
      </c>
      <c r="L16" s="125" t="e">
        <f>'CT huyện -2024'!#REF!</f>
        <v>#REF!</v>
      </c>
      <c r="M16" s="125" t="e">
        <f>'CT huyện -2024'!#REF!</f>
        <v>#REF!</v>
      </c>
      <c r="N16" s="125">
        <f>'CT huyện -2024'!H29</f>
        <v>2000</v>
      </c>
      <c r="O16" s="125">
        <f>'CT huyện -2024'!L29</f>
        <v>12000</v>
      </c>
      <c r="P16" s="125">
        <f>'CT huyện -2024'!M29</f>
        <v>0</v>
      </c>
      <c r="Q16" s="125">
        <f>'CT huyện -2024'!N29</f>
        <v>0</v>
      </c>
      <c r="R16" s="125">
        <f>'CT huyện -2024'!O29</f>
        <v>12000</v>
      </c>
      <c r="S16" s="125">
        <f>'CT huyện -2024'!P23</f>
        <v>0</v>
      </c>
      <c r="T16" s="125">
        <f>'CT huyện -2024'!Q23</f>
        <v>0</v>
      </c>
      <c r="U16" s="125">
        <f>'CT huyện -2024'!R23</f>
        <v>0</v>
      </c>
      <c r="V16" s="125">
        <f>'CT huyện -2024'!S23</f>
        <v>63200</v>
      </c>
      <c r="W16" s="125">
        <f>'CT huyện -2024'!T23</f>
        <v>0</v>
      </c>
      <c r="X16" s="457">
        <f>X15-X14</f>
        <v>70000.179000000004</v>
      </c>
      <c r="Y16" s="168">
        <f t="shared" si="3"/>
        <v>306000</v>
      </c>
      <c r="Z16" s="149" t="e">
        <f>+#REF!+#REF!+#REF!+#REF!</f>
        <v>#REF!</v>
      </c>
      <c r="AA16" s="149">
        <f t="shared" si="4"/>
        <v>215600</v>
      </c>
    </row>
    <row r="17" spans="1:27" s="16" customFormat="1" ht="15.75" x14ac:dyDescent="0.25">
      <c r="A17" s="29"/>
      <c r="B17" s="112" t="s">
        <v>91</v>
      </c>
      <c r="C17" s="195"/>
      <c r="D17" s="44"/>
      <c r="E17" s="148">
        <f>SUM(E18:E20)</f>
        <v>54</v>
      </c>
      <c r="F17" s="148">
        <f t="shared" ref="F17:V17" si="6">SUM(F18:F20)</f>
        <v>541903.35299999989</v>
      </c>
      <c r="G17" s="148">
        <f t="shared" si="6"/>
        <v>0</v>
      </c>
      <c r="H17" s="148">
        <f t="shared" si="6"/>
        <v>0</v>
      </c>
      <c r="I17" s="148">
        <f t="shared" si="6"/>
        <v>0</v>
      </c>
      <c r="J17" s="148">
        <f t="shared" si="6"/>
        <v>0</v>
      </c>
      <c r="K17" s="148">
        <f t="shared" si="6"/>
        <v>0</v>
      </c>
      <c r="L17" s="148">
        <f t="shared" si="6"/>
        <v>0</v>
      </c>
      <c r="M17" s="148">
        <f t="shared" si="6"/>
        <v>0</v>
      </c>
      <c r="N17" s="148">
        <f t="shared" si="6"/>
        <v>24577</v>
      </c>
      <c r="O17" s="148">
        <f t="shared" si="6"/>
        <v>387776</v>
      </c>
      <c r="P17" s="148">
        <f t="shared" si="6"/>
        <v>0</v>
      </c>
      <c r="Q17" s="148">
        <f t="shared" si="6"/>
        <v>0</v>
      </c>
      <c r="R17" s="148">
        <f t="shared" si="6"/>
        <v>136031.821</v>
      </c>
      <c r="S17" s="148">
        <f t="shared" si="6"/>
        <v>251744.179</v>
      </c>
      <c r="T17" s="148">
        <f t="shared" si="6"/>
        <v>0</v>
      </c>
      <c r="U17" s="148">
        <f t="shared" si="6"/>
        <v>0</v>
      </c>
      <c r="V17" s="148" t="e">
        <f t="shared" si="6"/>
        <v>#REF!</v>
      </c>
      <c r="W17" s="204"/>
      <c r="X17" s="458" t="e">
        <f>R12+R21+R69+#REF!+#REF!</f>
        <v>#REF!</v>
      </c>
      <c r="Y17" s="168">
        <f t="shared" si="3"/>
        <v>517326.35299999989</v>
      </c>
      <c r="Z17" s="152" t="e">
        <f>+#REF!+#REF!+#REF!+#REF!</f>
        <v>#REF!</v>
      </c>
      <c r="AA17" s="152">
        <f t="shared" si="4"/>
        <v>379332.3470999999</v>
      </c>
    </row>
    <row r="18" spans="1:27" ht="15.75" x14ac:dyDescent="0.2">
      <c r="A18" s="194" t="s">
        <v>194</v>
      </c>
      <c r="B18" s="24" t="s">
        <v>317</v>
      </c>
      <c r="C18" s="158"/>
      <c r="D18" s="39"/>
      <c r="E18" s="122">
        <f>'KHV hạ tầng dân cư xây mới'!F12</f>
        <v>23</v>
      </c>
      <c r="F18" s="123">
        <f>'KHV hạ tầng dân cư xây mới'!G12</f>
        <v>273210.52299999999</v>
      </c>
      <c r="G18" s="123"/>
      <c r="H18" s="216"/>
      <c r="I18" s="216"/>
      <c r="J18" s="216"/>
      <c r="K18" s="216"/>
      <c r="L18" s="216"/>
      <c r="M18" s="216"/>
      <c r="N18" s="216">
        <f>'KHV hạ tầng dân cư xây mới'!H12</f>
        <v>13900</v>
      </c>
      <c r="O18" s="216">
        <f>SUM(P18:U18)</f>
        <v>167776</v>
      </c>
      <c r="P18" s="216"/>
      <c r="Q18" s="216"/>
      <c r="R18" s="216">
        <f>'KHV hạ tầng dân cư xây mới'!O12</f>
        <v>51106</v>
      </c>
      <c r="S18" s="216">
        <f>'KHV hạ tầng dân cư xây mới'!P11</f>
        <v>116670</v>
      </c>
      <c r="T18" s="216"/>
      <c r="U18" s="216"/>
      <c r="V18" s="216">
        <f>'KHV hạ tầng dân cư xây mới'!S12</f>
        <v>181676</v>
      </c>
      <c r="W18" s="382" t="s">
        <v>387</v>
      </c>
      <c r="X18" s="171"/>
      <c r="Y18" s="168">
        <f t="shared" si="3"/>
        <v>259310.52299999999</v>
      </c>
      <c r="Z18" s="46" t="e">
        <f>+#REF!+#REF!+#REF!+#REF!</f>
        <v>#REF!</v>
      </c>
      <c r="AA18" s="46">
        <f t="shared" si="4"/>
        <v>191247.36609999998</v>
      </c>
    </row>
    <row r="19" spans="1:27" ht="15.75" x14ac:dyDescent="0.2">
      <c r="A19" s="194" t="s">
        <v>194</v>
      </c>
      <c r="B19" s="24" t="s">
        <v>296</v>
      </c>
      <c r="C19" s="158"/>
      <c r="D19" s="42"/>
      <c r="E19" s="122">
        <f>'KHV hạ tầng dân cư CBĐT'!F11</f>
        <v>18</v>
      </c>
      <c r="F19" s="123">
        <f>'KHV hạ tầng dân cư CBĐT'!G11</f>
        <v>0</v>
      </c>
      <c r="G19" s="123"/>
      <c r="H19" s="216"/>
      <c r="I19" s="216"/>
      <c r="J19" s="216"/>
      <c r="K19" s="216"/>
      <c r="L19" s="216"/>
      <c r="M19" s="216"/>
      <c r="N19" s="216">
        <f>'KHV hạ tầng dân cư CBĐT'!H11</f>
        <v>0</v>
      </c>
      <c r="O19" s="216">
        <f>SUM(P19:U19)</f>
        <v>5400</v>
      </c>
      <c r="P19" s="216"/>
      <c r="Q19" s="216"/>
      <c r="R19" s="216">
        <f>'KHV hạ tầng dân cư CBĐT'!O11</f>
        <v>5400</v>
      </c>
      <c r="S19" s="216"/>
      <c r="T19" s="216"/>
      <c r="U19" s="216"/>
      <c r="V19" s="216" t="e">
        <f>'KHV hạ tầng dân cư xây mới'!#REF!</f>
        <v>#REF!</v>
      </c>
      <c r="W19" s="382" t="s">
        <v>388</v>
      </c>
      <c r="X19" s="188">
        <f>R12+R21+R69</f>
        <v>489999.821</v>
      </c>
      <c r="Y19" s="168">
        <f t="shared" ref="Y19" si="7">F19-N19</f>
        <v>0</v>
      </c>
      <c r="Z19" s="46" t="e">
        <f>+#REF!+#REF!+#REF!+#REF!</f>
        <v>#REF!</v>
      </c>
      <c r="AA19" s="46">
        <f t="shared" si="4"/>
        <v>0</v>
      </c>
    </row>
    <row r="20" spans="1:27" ht="30" customHeight="1" x14ac:dyDescent="0.2">
      <c r="A20" s="194" t="s">
        <v>194</v>
      </c>
      <c r="B20" s="24" t="s">
        <v>364</v>
      </c>
      <c r="C20" s="158"/>
      <c r="D20" s="42"/>
      <c r="E20" s="122">
        <f>'Hạ tầng dân cư - vốn vay'!E11</f>
        <v>13</v>
      </c>
      <c r="F20" s="123">
        <f>'Hạ tầng dân cư - vốn vay'!G11</f>
        <v>268692.82999999996</v>
      </c>
      <c r="G20" s="123"/>
      <c r="H20" s="216"/>
      <c r="I20" s="216"/>
      <c r="J20" s="216"/>
      <c r="K20" s="216"/>
      <c r="L20" s="216"/>
      <c r="M20" s="216"/>
      <c r="N20" s="216">
        <f>'Hạ tầng dân cư - vốn vay'!J11</f>
        <v>10677</v>
      </c>
      <c r="O20" s="216">
        <f>SUM(P20:U20)</f>
        <v>214600</v>
      </c>
      <c r="P20" s="216"/>
      <c r="Q20" s="216"/>
      <c r="R20" s="216">
        <f>'Hạ tầng dân cư - vốn vay'!S11</f>
        <v>79525.820999999996</v>
      </c>
      <c r="S20" s="216">
        <f>'Hạ tầng dân cư - vốn vay'!R11</f>
        <v>135074.179</v>
      </c>
      <c r="T20" s="216"/>
      <c r="U20" s="216"/>
      <c r="V20" s="216">
        <f>'Hạ tầng dân cư - vốn vay'!V11</f>
        <v>90202.820999999996</v>
      </c>
      <c r="W20" s="382" t="s">
        <v>389</v>
      </c>
      <c r="X20" s="107">
        <v>490000</v>
      </c>
      <c r="Y20" s="168">
        <f t="shared" si="3"/>
        <v>258015.82999999996</v>
      </c>
      <c r="Z20" s="46" t="e">
        <f>+#REF!+#REF!+#REF!+#REF!</f>
        <v>#REF!</v>
      </c>
      <c r="AA20" s="46">
        <f t="shared" si="4"/>
        <v>188084.98099999997</v>
      </c>
    </row>
    <row r="21" spans="1:27" s="435" customFormat="1" ht="15.75" x14ac:dyDescent="0.2">
      <c r="A21" s="436" t="s">
        <v>74</v>
      </c>
      <c r="B21" s="437" t="s">
        <v>355</v>
      </c>
      <c r="C21" s="438"/>
      <c r="D21" s="439"/>
      <c r="E21" s="431">
        <f>+E22+E45+E61</f>
        <v>97</v>
      </c>
      <c r="F21" s="431">
        <f t="shared" ref="F21:V21" si="8">+F22+F45+F61</f>
        <v>553682.36599999992</v>
      </c>
      <c r="G21" s="431">
        <f t="shared" si="8"/>
        <v>3960</v>
      </c>
      <c r="H21" s="431">
        <f t="shared" si="8"/>
        <v>192651</v>
      </c>
      <c r="I21" s="431">
        <f t="shared" si="8"/>
        <v>0</v>
      </c>
      <c r="J21" s="431">
        <f t="shared" si="8"/>
        <v>20200</v>
      </c>
      <c r="K21" s="431">
        <f t="shared" si="8"/>
        <v>58000</v>
      </c>
      <c r="L21" s="431">
        <f t="shared" si="8"/>
        <v>65801</v>
      </c>
      <c r="M21" s="431">
        <f t="shared" si="8"/>
        <v>48650</v>
      </c>
      <c r="N21" s="431">
        <f t="shared" si="8"/>
        <v>124425</v>
      </c>
      <c r="O21" s="431">
        <f t="shared" si="8"/>
        <v>198911</v>
      </c>
      <c r="P21" s="431">
        <f t="shared" si="8"/>
        <v>25298</v>
      </c>
      <c r="Q21" s="431">
        <f t="shared" si="8"/>
        <v>21900</v>
      </c>
      <c r="R21" s="431">
        <f t="shared" si="8"/>
        <v>60728</v>
      </c>
      <c r="S21" s="431">
        <f t="shared" si="8"/>
        <v>0</v>
      </c>
      <c r="T21" s="431">
        <f t="shared" si="8"/>
        <v>70000</v>
      </c>
      <c r="U21" s="431">
        <f t="shared" si="8"/>
        <v>20985</v>
      </c>
      <c r="V21" s="431">
        <f t="shared" si="8"/>
        <v>282892</v>
      </c>
      <c r="W21" s="431"/>
      <c r="X21" s="459">
        <f>X20-X19</f>
        <v>0.17900000000372529</v>
      </c>
      <c r="Y21" s="433">
        <f t="shared" si="3"/>
        <v>429257.36599999992</v>
      </c>
    </row>
    <row r="22" spans="1:27" s="207" customFormat="1" ht="15.75" x14ac:dyDescent="0.2">
      <c r="A22" s="200"/>
      <c r="B22" s="201" t="s">
        <v>93</v>
      </c>
      <c r="C22" s="202"/>
      <c r="D22" s="203"/>
      <c r="E22" s="204">
        <f>SUM(E23:E44)</f>
        <v>57</v>
      </c>
      <c r="F22" s="204">
        <f t="shared" ref="F22:V22" si="9">SUM(F23:F44)</f>
        <v>360573.24699999997</v>
      </c>
      <c r="G22" s="204">
        <f t="shared" si="9"/>
        <v>3960</v>
      </c>
      <c r="H22" s="204">
        <f t="shared" si="9"/>
        <v>174051</v>
      </c>
      <c r="I22" s="204">
        <f t="shared" si="9"/>
        <v>0</v>
      </c>
      <c r="J22" s="204">
        <f t="shared" si="9"/>
        <v>17000</v>
      </c>
      <c r="K22" s="204">
        <f t="shared" si="9"/>
        <v>53000</v>
      </c>
      <c r="L22" s="204">
        <f t="shared" si="9"/>
        <v>61501</v>
      </c>
      <c r="M22" s="204">
        <f t="shared" si="9"/>
        <v>42550</v>
      </c>
      <c r="N22" s="204">
        <f t="shared" si="9"/>
        <v>85095</v>
      </c>
      <c r="O22" s="204">
        <f t="shared" si="9"/>
        <v>119468</v>
      </c>
      <c r="P22" s="204">
        <f t="shared" si="9"/>
        <v>0</v>
      </c>
      <c r="Q22" s="204">
        <f t="shared" si="9"/>
        <v>9200</v>
      </c>
      <c r="R22" s="204">
        <f t="shared" si="9"/>
        <v>42168</v>
      </c>
      <c r="S22" s="204">
        <f t="shared" si="9"/>
        <v>0</v>
      </c>
      <c r="T22" s="204">
        <f t="shared" si="9"/>
        <v>59400</v>
      </c>
      <c r="U22" s="204">
        <f t="shared" si="9"/>
        <v>8700</v>
      </c>
      <c r="V22" s="204">
        <f t="shared" si="9"/>
        <v>210053</v>
      </c>
      <c r="W22" s="204" t="s">
        <v>199</v>
      </c>
      <c r="X22" s="205"/>
      <c r="Y22" s="206">
        <f t="shared" si="3"/>
        <v>275478.24699999997</v>
      </c>
    </row>
    <row r="23" spans="1:27" s="16" customFormat="1" ht="16.5" x14ac:dyDescent="0.25">
      <c r="A23" s="208">
        <v>1</v>
      </c>
      <c r="B23" s="25" t="s">
        <v>22</v>
      </c>
      <c r="C23" s="158"/>
      <c r="D23" s="44"/>
      <c r="E23" s="122">
        <f>'CT xa-TT-2024'!E12</f>
        <v>4</v>
      </c>
      <c r="F23" s="122">
        <f>'CT xa-TT-2024'!F12</f>
        <v>36020</v>
      </c>
      <c r="G23" s="122">
        <f>'CT xa-TT-2024'!G12</f>
        <v>0</v>
      </c>
      <c r="H23" s="122">
        <f>'CT xa-TT-2024'!H12</f>
        <v>22000</v>
      </c>
      <c r="I23" s="122">
        <f>'CT xa-TT-2024'!I12</f>
        <v>0</v>
      </c>
      <c r="J23" s="122">
        <f>'CT xa-TT-2024'!J12</f>
        <v>4000</v>
      </c>
      <c r="K23" s="122">
        <f>'CT xa-TT-2024'!K12</f>
        <v>12000</v>
      </c>
      <c r="L23" s="122">
        <f>'CT xa-TT-2024'!L12</f>
        <v>4000</v>
      </c>
      <c r="M23" s="122">
        <f>'CT xa-TT-2024'!M12</f>
        <v>2000</v>
      </c>
      <c r="N23" s="122">
        <f>'CT xa-TT-2024'!N12</f>
        <v>11535</v>
      </c>
      <c r="O23" s="122">
        <f>'CT xa-TT-2024'!O12</f>
        <v>21050</v>
      </c>
      <c r="P23" s="122">
        <f>'CT xa-TT-2024'!P12</f>
        <v>0</v>
      </c>
      <c r="Q23" s="122">
        <f>'CT xa-TT-2024'!Q12</f>
        <v>6200</v>
      </c>
      <c r="R23" s="122">
        <f>'CT xa-TT-2024'!R12</f>
        <v>12350</v>
      </c>
      <c r="S23" s="122">
        <f>'CT xa-TT-2024'!S12</f>
        <v>0</v>
      </c>
      <c r="T23" s="122">
        <f>'CT xa-TT-2024'!T12</f>
        <v>2500</v>
      </c>
      <c r="U23" s="122">
        <f>'CT xa-TT-2024'!U12</f>
        <v>0</v>
      </c>
      <c r="V23" s="122">
        <f>'CT xa-TT-2024'!V12</f>
        <v>32585</v>
      </c>
      <c r="W23" s="204">
        <f>'CT xa-TT-2024'!W12</f>
        <v>0</v>
      </c>
      <c r="X23" s="172"/>
      <c r="Y23" s="168">
        <f t="shared" si="3"/>
        <v>24485</v>
      </c>
      <c r="Z23" s="152" t="e">
        <f>+#REF!+#REF!+#REF!+#REF!</f>
        <v>#REF!</v>
      </c>
      <c r="AA23" s="152">
        <f>+F23*70%</f>
        <v>25214</v>
      </c>
    </row>
    <row r="24" spans="1:27" s="155" customFormat="1" ht="16.5" x14ac:dyDescent="0.25">
      <c r="A24" s="209">
        <v>2</v>
      </c>
      <c r="B24" s="25" t="s">
        <v>94</v>
      </c>
      <c r="C24" s="158"/>
      <c r="D24" s="44"/>
      <c r="E24" s="122">
        <f>'CT xa-TT-2024'!E19</f>
        <v>3</v>
      </c>
      <c r="F24" s="122">
        <f>'CT xa-TT-2024'!F19</f>
        <v>25400</v>
      </c>
      <c r="G24" s="122">
        <f>'CT xa-TT-2024'!G19</f>
        <v>0</v>
      </c>
      <c r="H24" s="122">
        <f>'CT xa-TT-2024'!H19</f>
        <v>2000</v>
      </c>
      <c r="I24" s="122">
        <f>'CT xa-TT-2024'!I19</f>
        <v>0</v>
      </c>
      <c r="J24" s="122">
        <f>'CT xa-TT-2024'!J19</f>
        <v>0</v>
      </c>
      <c r="K24" s="122">
        <f>'CT xa-TT-2024'!K19</f>
        <v>0</v>
      </c>
      <c r="L24" s="122">
        <f>'CT xa-TT-2024'!L19</f>
        <v>2000</v>
      </c>
      <c r="M24" s="122">
        <f>'CT xa-TT-2024'!M19</f>
        <v>0</v>
      </c>
      <c r="N24" s="122">
        <f>'CT xa-TT-2024'!N19</f>
        <v>0</v>
      </c>
      <c r="O24" s="122">
        <f>'CT xa-TT-2024'!O19</f>
        <v>8430</v>
      </c>
      <c r="P24" s="122">
        <f>'CT xa-TT-2024'!P19</f>
        <v>0</v>
      </c>
      <c r="Q24" s="122">
        <f>'CT xa-TT-2024'!Q19</f>
        <v>0</v>
      </c>
      <c r="R24" s="122">
        <f>'CT xa-TT-2024'!R19</f>
        <v>3430</v>
      </c>
      <c r="S24" s="122">
        <f>'CT xa-TT-2024'!S19</f>
        <v>0</v>
      </c>
      <c r="T24" s="122">
        <f>'CT xa-TT-2024'!T19</f>
        <v>5000</v>
      </c>
      <c r="U24" s="122">
        <f>'CT xa-TT-2024'!U19</f>
        <v>0</v>
      </c>
      <c r="V24" s="122">
        <f>'CT xa-TT-2024'!V19</f>
        <v>17430</v>
      </c>
      <c r="W24" s="211">
        <f>'CT xa-TT-2024'!W19</f>
        <v>0</v>
      </c>
      <c r="X24" s="173"/>
      <c r="Y24" s="173"/>
      <c r="Z24" s="46" t="e">
        <f>+#REF!+#REF!+#REF!+#REF!</f>
        <v>#REF!</v>
      </c>
      <c r="AA24" s="46">
        <f>+F24*70%</f>
        <v>17780</v>
      </c>
    </row>
    <row r="25" spans="1:27" s="16" customFormat="1" ht="21" customHeight="1" x14ac:dyDescent="0.2">
      <c r="A25" s="208">
        <v>3</v>
      </c>
      <c r="B25" s="25" t="s">
        <v>20</v>
      </c>
      <c r="C25" s="158"/>
      <c r="D25" s="44"/>
      <c r="E25" s="122">
        <f>'CT xa-TT-2024'!E26</f>
        <v>2</v>
      </c>
      <c r="F25" s="122">
        <f>'CT xa-TT-2024'!F26</f>
        <v>7981</v>
      </c>
      <c r="G25" s="122">
        <f>'CT xa-TT-2024'!G26</f>
        <v>3960</v>
      </c>
      <c r="H25" s="122">
        <f>'CT xa-TT-2024'!H26</f>
        <v>6000</v>
      </c>
      <c r="I25" s="122">
        <f>'CT xa-TT-2024'!I26</f>
        <v>0</v>
      </c>
      <c r="J25" s="122">
        <f>'CT xa-TT-2024'!J26</f>
        <v>0</v>
      </c>
      <c r="K25" s="122">
        <f>'CT xa-TT-2024'!K26</f>
        <v>4000</v>
      </c>
      <c r="L25" s="122">
        <f>'CT xa-TT-2024'!L26</f>
        <v>2000</v>
      </c>
      <c r="M25" s="122">
        <f>'CT xa-TT-2024'!M26</f>
        <v>0</v>
      </c>
      <c r="N25" s="122">
        <f>'CT xa-TT-2024'!N26</f>
        <v>3960</v>
      </c>
      <c r="O25" s="122">
        <f>'CT xa-TT-2024'!O26</f>
        <v>700</v>
      </c>
      <c r="P25" s="122">
        <f>'CT xa-TT-2024'!P26</f>
        <v>0</v>
      </c>
      <c r="Q25" s="122">
        <f>'CT xa-TT-2024'!Q26</f>
        <v>0</v>
      </c>
      <c r="R25" s="122">
        <f>'CT xa-TT-2024'!R26</f>
        <v>0</v>
      </c>
      <c r="S25" s="122">
        <f>'CT xa-TT-2024'!S26</f>
        <v>0</v>
      </c>
      <c r="T25" s="122">
        <f>'CT xa-TT-2024'!T26</f>
        <v>700</v>
      </c>
      <c r="U25" s="122">
        <f>'CT xa-TT-2024'!U26</f>
        <v>0</v>
      </c>
      <c r="V25" s="122">
        <f>'CT xa-TT-2024'!V26</f>
        <v>4850</v>
      </c>
      <c r="W25" s="204">
        <f>'CT xa-TT-2024'!W26</f>
        <v>0</v>
      </c>
      <c r="X25" s="169"/>
      <c r="Y25" s="169"/>
      <c r="Z25" s="46" t="e">
        <f>+#REF!+#REF!+#REF!+#REF!</f>
        <v>#REF!</v>
      </c>
      <c r="AA25" s="46">
        <f>+F25*70%</f>
        <v>5586.7</v>
      </c>
    </row>
    <row r="26" spans="1:27" s="32" customFormat="1" ht="16.5" x14ac:dyDescent="0.25">
      <c r="A26" s="209">
        <v>4</v>
      </c>
      <c r="B26" s="25" t="s">
        <v>19</v>
      </c>
      <c r="C26" s="158"/>
      <c r="D26" s="43"/>
      <c r="E26" s="122">
        <f>'CT xa-TT-2024'!E31</f>
        <v>0</v>
      </c>
      <c r="F26" s="122">
        <f>'CT xa-TT-2024'!F31</f>
        <v>0</v>
      </c>
      <c r="G26" s="122">
        <f>'CT xa-TT-2024'!G31</f>
        <v>0</v>
      </c>
      <c r="H26" s="122">
        <f>'CT xa-TT-2024'!H31</f>
        <v>0</v>
      </c>
      <c r="I26" s="122">
        <f>'CT xa-TT-2024'!I31</f>
        <v>0</v>
      </c>
      <c r="J26" s="122">
        <f>'CT xa-TT-2024'!J31</f>
        <v>0</v>
      </c>
      <c r="K26" s="122">
        <f>'CT xa-TT-2024'!K31</f>
        <v>0</v>
      </c>
      <c r="L26" s="122">
        <f>'CT xa-TT-2024'!L31</f>
        <v>0</v>
      </c>
      <c r="M26" s="122">
        <f>'CT xa-TT-2024'!M31</f>
        <v>0</v>
      </c>
      <c r="N26" s="122">
        <f>'CT xa-TT-2024'!N31</f>
        <v>0</v>
      </c>
      <c r="O26" s="122">
        <f>'CT xa-TT-2024'!O31</f>
        <v>0</v>
      </c>
      <c r="P26" s="122">
        <f>'CT xa-TT-2024'!P31</f>
        <v>0</v>
      </c>
      <c r="Q26" s="122">
        <f>'CT xa-TT-2024'!Q31</f>
        <v>0</v>
      </c>
      <c r="R26" s="122">
        <f>'CT xa-TT-2024'!R31</f>
        <v>0</v>
      </c>
      <c r="S26" s="122">
        <f>'CT xa-TT-2024'!S31</f>
        <v>0</v>
      </c>
      <c r="T26" s="122">
        <f>'CT xa-TT-2024'!T31</f>
        <v>0</v>
      </c>
      <c r="U26" s="122">
        <f>'CT xa-TT-2024'!U31</f>
        <v>0</v>
      </c>
      <c r="V26" s="122">
        <f>'CT xa-TT-2024'!V31</f>
        <v>0</v>
      </c>
      <c r="W26" s="125">
        <f>'CT xa-TT-2024'!W31</f>
        <v>0</v>
      </c>
      <c r="X26" s="107"/>
      <c r="Y26" s="107"/>
      <c r="Z26" s="46"/>
      <c r="AA26" s="46"/>
    </row>
    <row r="27" spans="1:27" s="86" customFormat="1" ht="16.5" x14ac:dyDescent="0.25">
      <c r="A27" s="208">
        <v>5</v>
      </c>
      <c r="B27" s="25" t="s">
        <v>18</v>
      </c>
      <c r="C27" s="158"/>
      <c r="D27" s="44"/>
      <c r="E27" s="122">
        <f>'CT xa-TT-2024'!E36</f>
        <v>3</v>
      </c>
      <c r="F27" s="122">
        <f>'CT xa-TT-2024'!F36</f>
        <v>14950</v>
      </c>
      <c r="G27" s="122">
        <f>'CT xa-TT-2024'!G36</f>
        <v>0</v>
      </c>
      <c r="H27" s="122">
        <f>'CT xa-TT-2024'!H36</f>
        <v>12000</v>
      </c>
      <c r="I27" s="122">
        <f>'CT xa-TT-2024'!I36</f>
        <v>0</v>
      </c>
      <c r="J27" s="122">
        <f>'CT xa-TT-2024'!J36</f>
        <v>10000</v>
      </c>
      <c r="K27" s="122">
        <f>'CT xa-TT-2024'!K36</f>
        <v>0</v>
      </c>
      <c r="L27" s="122">
        <f>'CT xa-TT-2024'!L36</f>
        <v>1000</v>
      </c>
      <c r="M27" s="122">
        <f>'CT xa-TT-2024'!M36</f>
        <v>1000</v>
      </c>
      <c r="N27" s="122">
        <f>'CT xa-TT-2024'!N36</f>
        <v>5000</v>
      </c>
      <c r="O27" s="122">
        <f>'CT xa-TT-2024'!O36</f>
        <v>4865</v>
      </c>
      <c r="P27" s="122">
        <f>'CT xa-TT-2024'!P36</f>
        <v>0</v>
      </c>
      <c r="Q27" s="122">
        <f>'CT xa-TT-2024'!Q36</f>
        <v>0</v>
      </c>
      <c r="R27" s="122">
        <f>'CT xa-TT-2024'!R36</f>
        <v>3465</v>
      </c>
      <c r="S27" s="122">
        <f>'CT xa-TT-2024'!S36</f>
        <v>0</v>
      </c>
      <c r="T27" s="122">
        <f>'CT xa-TT-2024'!T36</f>
        <v>1400</v>
      </c>
      <c r="U27" s="122">
        <f>'CT xa-TT-2024'!U36</f>
        <v>0</v>
      </c>
      <c r="V27" s="122">
        <f>'CT xa-TT-2024'!V36</f>
        <v>9865</v>
      </c>
      <c r="W27" s="204">
        <f>'CT xa-TT-2024'!W36</f>
        <v>0</v>
      </c>
      <c r="X27" s="169"/>
      <c r="Y27" s="169"/>
      <c r="Z27" s="46" t="e">
        <f>+#REF!+#REF!+#REF!+#REF!</f>
        <v>#REF!</v>
      </c>
      <c r="AA27" s="46">
        <f>+F27*70%</f>
        <v>10465</v>
      </c>
    </row>
    <row r="28" spans="1:27" s="32" customFormat="1" ht="16.5" x14ac:dyDescent="0.25">
      <c r="A28" s="209">
        <v>6</v>
      </c>
      <c r="B28" s="25" t="s">
        <v>17</v>
      </c>
      <c r="C28" s="158"/>
      <c r="D28" s="43"/>
      <c r="E28" s="122">
        <f>'CT xa-TT-2024'!E42</f>
        <v>0</v>
      </c>
      <c r="F28" s="122">
        <f>'CT xa-TT-2024'!F42</f>
        <v>0</v>
      </c>
      <c r="G28" s="122">
        <f>'CT xa-TT-2024'!G42</f>
        <v>0</v>
      </c>
      <c r="H28" s="122">
        <f>'CT xa-TT-2024'!H42</f>
        <v>0</v>
      </c>
      <c r="I28" s="122">
        <f>'CT xa-TT-2024'!I42</f>
        <v>0</v>
      </c>
      <c r="J28" s="122">
        <f>'CT xa-TT-2024'!J42</f>
        <v>0</v>
      </c>
      <c r="K28" s="122">
        <f>'CT xa-TT-2024'!K42</f>
        <v>0</v>
      </c>
      <c r="L28" s="122">
        <f>'CT xa-TT-2024'!L42</f>
        <v>0</v>
      </c>
      <c r="M28" s="122">
        <f>'CT xa-TT-2024'!M42</f>
        <v>0</v>
      </c>
      <c r="N28" s="122">
        <f>'CT xa-TT-2024'!N42</f>
        <v>0</v>
      </c>
      <c r="O28" s="122">
        <f>'CT xa-TT-2024'!O42</f>
        <v>0</v>
      </c>
      <c r="P28" s="122">
        <f>'CT xa-TT-2024'!P42</f>
        <v>0</v>
      </c>
      <c r="Q28" s="122">
        <f>'CT xa-TT-2024'!Q42</f>
        <v>0</v>
      </c>
      <c r="R28" s="122">
        <f>'CT xa-TT-2024'!R42</f>
        <v>0</v>
      </c>
      <c r="S28" s="122">
        <f>'CT xa-TT-2024'!S42</f>
        <v>0</v>
      </c>
      <c r="T28" s="122">
        <f>'CT xa-TT-2024'!T42</f>
        <v>0</v>
      </c>
      <c r="U28" s="122">
        <f>'CT xa-TT-2024'!U42</f>
        <v>0</v>
      </c>
      <c r="V28" s="122">
        <f>'CT xa-TT-2024'!V42</f>
        <v>0</v>
      </c>
      <c r="W28" s="125"/>
      <c r="X28" s="107"/>
      <c r="Y28" s="107"/>
      <c r="Z28" s="46" t="e">
        <f>+#REF!+#REF!+#REF!+#REF!</f>
        <v>#REF!</v>
      </c>
      <c r="AA28" s="46">
        <f>+F28*70%</f>
        <v>0</v>
      </c>
    </row>
    <row r="29" spans="1:27" s="32" customFormat="1" ht="16.5" x14ac:dyDescent="0.25">
      <c r="A29" s="208">
        <v>7</v>
      </c>
      <c r="B29" s="25" t="s">
        <v>16</v>
      </c>
      <c r="C29" s="158"/>
      <c r="D29" s="43"/>
      <c r="E29" s="122">
        <f>'CT xa-TT-2024'!E45</f>
        <v>2</v>
      </c>
      <c r="F29" s="122">
        <f>'CT xa-TT-2024'!F45</f>
        <v>14950</v>
      </c>
      <c r="G29" s="122">
        <f>'CT xa-TT-2024'!G45</f>
        <v>0</v>
      </c>
      <c r="H29" s="122">
        <f>'CT xa-TT-2024'!H45</f>
        <v>400</v>
      </c>
      <c r="I29" s="122">
        <f>'CT xa-TT-2024'!I45</f>
        <v>0</v>
      </c>
      <c r="J29" s="122">
        <f>'CT xa-TT-2024'!J45</f>
        <v>0</v>
      </c>
      <c r="K29" s="122">
        <f>'CT xa-TT-2024'!K45</f>
        <v>0</v>
      </c>
      <c r="L29" s="122">
        <f>'CT xa-TT-2024'!L45</f>
        <v>400</v>
      </c>
      <c r="M29" s="122">
        <f>'CT xa-TT-2024'!M45</f>
        <v>0</v>
      </c>
      <c r="N29" s="122">
        <f>'CT xa-TT-2024'!N45</f>
        <v>0</v>
      </c>
      <c r="O29" s="122">
        <f>'CT xa-TT-2024'!O45</f>
        <v>9930</v>
      </c>
      <c r="P29" s="122">
        <f>'CT xa-TT-2024'!P45</f>
        <v>0</v>
      </c>
      <c r="Q29" s="122">
        <f>'CT xa-TT-2024'!Q45</f>
        <v>0</v>
      </c>
      <c r="R29" s="122">
        <f>'CT xa-TT-2024'!R45</f>
        <v>7730</v>
      </c>
      <c r="S29" s="122">
        <f>'CT xa-TT-2024'!S45</f>
        <v>0</v>
      </c>
      <c r="T29" s="122">
        <f>'CT xa-TT-2024'!T45</f>
        <v>2200</v>
      </c>
      <c r="U29" s="122">
        <f>'CT xa-TT-2024'!U45</f>
        <v>0</v>
      </c>
      <c r="V29" s="122">
        <f>'CT xa-TT-2024'!V45</f>
        <v>12930</v>
      </c>
      <c r="W29" s="125">
        <f>'CT xa-TT-2024'!W45</f>
        <v>0</v>
      </c>
      <c r="X29" s="107"/>
      <c r="Y29" s="107"/>
      <c r="Z29" s="46" t="e">
        <f>+#REF!+#REF!+#REF!+#REF!</f>
        <v>#REF!</v>
      </c>
      <c r="AA29" s="46">
        <f>+F29*70%</f>
        <v>10465</v>
      </c>
    </row>
    <row r="30" spans="1:27" ht="16.5" x14ac:dyDescent="0.2">
      <c r="A30" s="209">
        <v>8</v>
      </c>
      <c r="B30" s="190" t="s">
        <v>15</v>
      </c>
      <c r="C30" s="191"/>
      <c r="D30" s="192"/>
      <c r="E30" s="122">
        <f>'CT xa-TT-2024'!E50</f>
        <v>2</v>
      </c>
      <c r="F30" s="122">
        <f>'CT xa-TT-2024'!F50</f>
        <v>3000</v>
      </c>
      <c r="G30" s="122">
        <f>'CT xa-TT-2024'!G50</f>
        <v>0</v>
      </c>
      <c r="H30" s="122">
        <f>'CT xa-TT-2024'!H50</f>
        <v>400</v>
      </c>
      <c r="I30" s="122">
        <f>'CT xa-TT-2024'!I50</f>
        <v>0</v>
      </c>
      <c r="J30" s="122">
        <f>'CT xa-TT-2024'!J50</f>
        <v>0</v>
      </c>
      <c r="K30" s="122">
        <f>'CT xa-TT-2024'!K50</f>
        <v>0</v>
      </c>
      <c r="L30" s="122">
        <f>'CT xa-TT-2024'!L50</f>
        <v>400</v>
      </c>
      <c r="M30" s="122">
        <f>'CT xa-TT-2024'!M50</f>
        <v>0</v>
      </c>
      <c r="N30" s="122">
        <f>'CT xa-TT-2024'!N50</f>
        <v>0</v>
      </c>
      <c r="O30" s="122">
        <f>'CT xa-TT-2024'!O50</f>
        <v>1200</v>
      </c>
      <c r="P30" s="122">
        <f>'CT xa-TT-2024'!P50</f>
        <v>0</v>
      </c>
      <c r="Q30" s="122">
        <f>'CT xa-TT-2024'!Q50</f>
        <v>0</v>
      </c>
      <c r="R30" s="122">
        <f>'CT xa-TT-2024'!R50</f>
        <v>0</v>
      </c>
      <c r="S30" s="122">
        <f>'CT xa-TT-2024'!S50</f>
        <v>0</v>
      </c>
      <c r="T30" s="122">
        <f>'CT xa-TT-2024'!T50</f>
        <v>1200</v>
      </c>
      <c r="U30" s="122">
        <f>'CT xa-TT-2024'!U50</f>
        <v>0</v>
      </c>
      <c r="V30" s="122">
        <f>'CT xa-TT-2024'!V50</f>
        <v>1200</v>
      </c>
      <c r="W30" s="125">
        <f>'CT xa-TT-2024'!W50</f>
        <v>0</v>
      </c>
    </row>
    <row r="31" spans="1:27" ht="16.5" x14ac:dyDescent="0.2">
      <c r="A31" s="208">
        <v>9</v>
      </c>
      <c r="B31" s="190" t="s">
        <v>14</v>
      </c>
      <c r="C31" s="191"/>
      <c r="D31" s="192"/>
      <c r="E31" s="122">
        <f>'CT xa-TT-2024'!E54</f>
        <v>3</v>
      </c>
      <c r="F31" s="122">
        <f>'CT xa-TT-2024'!F54</f>
        <v>2500</v>
      </c>
      <c r="G31" s="122">
        <f>'CT xa-TT-2024'!G54</f>
        <v>0</v>
      </c>
      <c r="H31" s="122">
        <f>'CT xa-TT-2024'!H54</f>
        <v>5000</v>
      </c>
      <c r="I31" s="122">
        <f>'CT xa-TT-2024'!I54</f>
        <v>0</v>
      </c>
      <c r="J31" s="122">
        <f>'CT xa-TT-2024'!J54</f>
        <v>0</v>
      </c>
      <c r="K31" s="122">
        <f>'CT xa-TT-2024'!K54</f>
        <v>1000</v>
      </c>
      <c r="L31" s="122">
        <f>'CT xa-TT-2024'!L54</f>
        <v>1800</v>
      </c>
      <c r="M31" s="122">
        <f>'CT xa-TT-2024'!M54</f>
        <v>2200</v>
      </c>
      <c r="N31" s="122">
        <f>'CT xa-TT-2024'!N54</f>
        <v>500</v>
      </c>
      <c r="O31" s="122">
        <f>'CT xa-TT-2024'!O54</f>
        <v>900</v>
      </c>
      <c r="P31" s="122">
        <f>'CT xa-TT-2024'!P54</f>
        <v>0</v>
      </c>
      <c r="Q31" s="122">
        <f>'CT xa-TT-2024'!Q54</f>
        <v>0</v>
      </c>
      <c r="R31" s="122">
        <f>'CT xa-TT-2024'!R54</f>
        <v>0</v>
      </c>
      <c r="S31" s="122">
        <f>'CT xa-TT-2024'!S54</f>
        <v>0</v>
      </c>
      <c r="T31" s="122">
        <f>'CT xa-TT-2024'!T54</f>
        <v>900</v>
      </c>
      <c r="U31" s="122">
        <f>'CT xa-TT-2024'!U54</f>
        <v>0</v>
      </c>
      <c r="V31" s="122">
        <f>'CT xa-TT-2024'!V54</f>
        <v>1400</v>
      </c>
      <c r="W31" s="125">
        <f>'CT xa-TT-2024'!W54</f>
        <v>0</v>
      </c>
    </row>
    <row r="32" spans="1:27" ht="16.5" x14ac:dyDescent="0.2">
      <c r="A32" s="209">
        <v>10</v>
      </c>
      <c r="B32" s="190" t="s">
        <v>13</v>
      </c>
      <c r="C32" s="191"/>
      <c r="D32" s="192"/>
      <c r="E32" s="122">
        <f>'CT xa-TT-2024'!E60</f>
        <v>3</v>
      </c>
      <c r="F32" s="122">
        <f>'CT xa-TT-2024'!F60</f>
        <v>17000</v>
      </c>
      <c r="G32" s="122">
        <f>'CT xa-TT-2024'!G60</f>
        <v>0</v>
      </c>
      <c r="H32" s="122">
        <f>'CT xa-TT-2024'!H60</f>
        <v>8000</v>
      </c>
      <c r="I32" s="122">
        <f>'CT xa-TT-2024'!I60</f>
        <v>0</v>
      </c>
      <c r="J32" s="122">
        <f>'CT xa-TT-2024'!J60</f>
        <v>1000</v>
      </c>
      <c r="K32" s="122">
        <f>'CT xa-TT-2024'!K60</f>
        <v>3000</v>
      </c>
      <c r="L32" s="122">
        <f>'CT xa-TT-2024'!L60</f>
        <v>4000</v>
      </c>
      <c r="M32" s="122">
        <f>'CT xa-TT-2024'!M60</f>
        <v>0</v>
      </c>
      <c r="N32" s="122">
        <f>'CT xa-TT-2024'!N60</f>
        <v>6000</v>
      </c>
      <c r="O32" s="122">
        <f>'CT xa-TT-2024'!O60</f>
        <v>2200</v>
      </c>
      <c r="P32" s="122">
        <f>'CT xa-TT-2024'!P60</f>
        <v>0</v>
      </c>
      <c r="Q32" s="122">
        <f>'CT xa-TT-2024'!Q60</f>
        <v>0</v>
      </c>
      <c r="R32" s="122">
        <f>'CT xa-TT-2024'!R60</f>
        <v>0</v>
      </c>
      <c r="S32" s="122">
        <f>'CT xa-TT-2024'!S60</f>
        <v>0</v>
      </c>
      <c r="T32" s="122">
        <f>'CT xa-TT-2024'!T60</f>
        <v>2200</v>
      </c>
      <c r="U32" s="122">
        <f>'CT xa-TT-2024'!U60</f>
        <v>0</v>
      </c>
      <c r="V32" s="122">
        <f>'CT xa-TT-2024'!V60</f>
        <v>8200</v>
      </c>
      <c r="W32" s="125">
        <f>'CT xa-TT-2024'!W60</f>
        <v>0</v>
      </c>
    </row>
    <row r="33" spans="1:25" ht="16.5" x14ac:dyDescent="0.2">
      <c r="A33" s="208">
        <v>11</v>
      </c>
      <c r="B33" s="190" t="s">
        <v>12</v>
      </c>
      <c r="C33" s="191"/>
      <c r="D33" s="192"/>
      <c r="E33" s="122">
        <f>'CT xa-TT-2024'!E66</f>
        <v>6</v>
      </c>
      <c r="F33" s="122">
        <f>'CT xa-TT-2024'!F66</f>
        <v>29500</v>
      </c>
      <c r="G33" s="122">
        <f>'CT xa-TT-2024'!G66</f>
        <v>0</v>
      </c>
      <c r="H33" s="122">
        <f>'CT xa-TT-2024'!H66</f>
        <v>23400</v>
      </c>
      <c r="I33" s="122">
        <f>'CT xa-TT-2024'!I66</f>
        <v>0</v>
      </c>
      <c r="J33" s="122">
        <f>'CT xa-TT-2024'!J66</f>
        <v>2000</v>
      </c>
      <c r="K33" s="122">
        <f>'CT xa-TT-2024'!K66</f>
        <v>9000</v>
      </c>
      <c r="L33" s="122">
        <f>'CT xa-TT-2024'!L66</f>
        <v>9400</v>
      </c>
      <c r="M33" s="122">
        <f>'CT xa-TT-2024'!M66</f>
        <v>3000</v>
      </c>
      <c r="N33" s="122">
        <f>'CT xa-TT-2024'!N66</f>
        <v>8000</v>
      </c>
      <c r="O33" s="122">
        <f>'CT xa-TT-2024'!O66</f>
        <v>4100</v>
      </c>
      <c r="P33" s="122">
        <f>'CT xa-TT-2024'!P66</f>
        <v>0</v>
      </c>
      <c r="Q33" s="122">
        <f>'CT xa-TT-2024'!Q66</f>
        <v>0</v>
      </c>
      <c r="R33" s="122">
        <f>'CT xa-TT-2024'!R66</f>
        <v>0</v>
      </c>
      <c r="S33" s="122">
        <f>'CT xa-TT-2024'!S66</f>
        <v>0</v>
      </c>
      <c r="T33" s="122">
        <f>'CT xa-TT-2024'!T66</f>
        <v>3900</v>
      </c>
      <c r="U33" s="122">
        <f>'CT xa-TT-2024'!U66</f>
        <v>200</v>
      </c>
      <c r="V33" s="122">
        <f>'CT xa-TT-2024'!V66</f>
        <v>14200</v>
      </c>
      <c r="W33" s="125">
        <f>'CT xa-TT-2024'!W66</f>
        <v>0</v>
      </c>
    </row>
    <row r="34" spans="1:25" ht="16.5" x14ac:dyDescent="0.2">
      <c r="A34" s="209">
        <v>12</v>
      </c>
      <c r="B34" s="190" t="s">
        <v>11</v>
      </c>
      <c r="C34" s="191"/>
      <c r="D34" s="192"/>
      <c r="E34" s="122">
        <f>'CT xa-TT-2024'!E75</f>
        <v>3</v>
      </c>
      <c r="F34" s="122">
        <f>'CT xa-TT-2024'!F75</f>
        <v>0</v>
      </c>
      <c r="G34" s="122">
        <f>'CT xa-TT-2024'!G75</f>
        <v>0</v>
      </c>
      <c r="H34" s="122">
        <f>'CT xa-TT-2024'!H75</f>
        <v>0</v>
      </c>
      <c r="I34" s="122">
        <f>'CT xa-TT-2024'!I75</f>
        <v>0</v>
      </c>
      <c r="J34" s="122">
        <f>'CT xa-TT-2024'!J75</f>
        <v>0</v>
      </c>
      <c r="K34" s="122">
        <f>'CT xa-TT-2024'!K75</f>
        <v>0</v>
      </c>
      <c r="L34" s="122">
        <f>'CT xa-TT-2024'!L75</f>
        <v>0</v>
      </c>
      <c r="M34" s="122">
        <f>'CT xa-TT-2024'!M75</f>
        <v>0</v>
      </c>
      <c r="N34" s="122">
        <f>'CT xa-TT-2024'!N75</f>
        <v>0</v>
      </c>
      <c r="O34" s="122">
        <f>'CT xa-TT-2024'!O75</f>
        <v>600</v>
      </c>
      <c r="P34" s="122">
        <f>'CT xa-TT-2024'!P75</f>
        <v>0</v>
      </c>
      <c r="Q34" s="122">
        <f>'CT xa-TT-2024'!Q75</f>
        <v>0</v>
      </c>
      <c r="R34" s="122">
        <f>'CT xa-TT-2024'!R75</f>
        <v>0</v>
      </c>
      <c r="S34" s="122">
        <f>'CT xa-TT-2024'!S75</f>
        <v>0</v>
      </c>
      <c r="T34" s="122">
        <f>'CT xa-TT-2024'!T75</f>
        <v>600</v>
      </c>
      <c r="U34" s="122">
        <f>'CT xa-TT-2024'!U75</f>
        <v>0</v>
      </c>
      <c r="V34" s="122">
        <f>'CT xa-TT-2024'!V75</f>
        <v>0</v>
      </c>
      <c r="W34" s="125">
        <f>'CT xa-TT-2024'!W75</f>
        <v>0</v>
      </c>
    </row>
    <row r="35" spans="1:25" ht="16.5" x14ac:dyDescent="0.2">
      <c r="A35" s="208">
        <v>13</v>
      </c>
      <c r="B35" s="190" t="s">
        <v>10</v>
      </c>
      <c r="C35" s="191"/>
      <c r="D35" s="192"/>
      <c r="E35" s="122">
        <f>'CT xa-TT-2024'!E80</f>
        <v>3</v>
      </c>
      <c r="F35" s="122">
        <f>'CT xa-TT-2024'!F80</f>
        <v>17000</v>
      </c>
      <c r="G35" s="122">
        <f>'CT xa-TT-2024'!G80</f>
        <v>0</v>
      </c>
      <c r="H35" s="122">
        <f>'CT xa-TT-2024'!H80</f>
        <v>850</v>
      </c>
      <c r="I35" s="122">
        <f>'CT xa-TT-2024'!I80</f>
        <v>0</v>
      </c>
      <c r="J35" s="122">
        <f>'CT xa-TT-2024'!J80</f>
        <v>0</v>
      </c>
      <c r="K35" s="122">
        <f>'CT xa-TT-2024'!K80</f>
        <v>0</v>
      </c>
      <c r="L35" s="122">
        <f>'CT xa-TT-2024'!L80</f>
        <v>500</v>
      </c>
      <c r="M35" s="122">
        <f>'CT xa-TT-2024'!M80</f>
        <v>350</v>
      </c>
      <c r="N35" s="122">
        <f>'CT xa-TT-2024'!N80</f>
        <v>2000</v>
      </c>
      <c r="O35" s="122">
        <f>'CT xa-TT-2024'!O80</f>
        <v>6400</v>
      </c>
      <c r="P35" s="122">
        <f>'CT xa-TT-2024'!P80</f>
        <v>0</v>
      </c>
      <c r="Q35" s="122">
        <f>'CT xa-TT-2024'!Q80</f>
        <v>0</v>
      </c>
      <c r="R35" s="122">
        <f>'CT xa-TT-2024'!R80</f>
        <v>0</v>
      </c>
      <c r="S35" s="122">
        <f>'CT xa-TT-2024'!S80</f>
        <v>0</v>
      </c>
      <c r="T35" s="122">
        <f>'CT xa-TT-2024'!T80</f>
        <v>1400</v>
      </c>
      <c r="U35" s="122">
        <f>'CT xa-TT-2024'!U80</f>
        <v>5000</v>
      </c>
      <c r="V35" s="122">
        <f>'CT xa-TT-2024'!V80</f>
        <v>5400</v>
      </c>
      <c r="W35" s="125">
        <f>'CT xa-TT-2024'!W80</f>
        <v>0</v>
      </c>
    </row>
    <row r="36" spans="1:25" ht="16.5" x14ac:dyDescent="0.2">
      <c r="A36" s="209">
        <v>14</v>
      </c>
      <c r="B36" s="190" t="s">
        <v>9</v>
      </c>
      <c r="C36" s="191"/>
      <c r="D36" s="192"/>
      <c r="E36" s="122">
        <f>'CT xa-TT-2024'!E86</f>
        <v>2</v>
      </c>
      <c r="F36" s="122">
        <f>'CT xa-TT-2024'!F86</f>
        <v>6463</v>
      </c>
      <c r="G36" s="122">
        <f>'CT xa-TT-2024'!G86</f>
        <v>0</v>
      </c>
      <c r="H36" s="122">
        <f>'CT xa-TT-2024'!H86</f>
        <v>9000</v>
      </c>
      <c r="I36" s="122">
        <f>'CT xa-TT-2024'!I86</f>
        <v>0</v>
      </c>
      <c r="J36" s="122">
        <f>'CT xa-TT-2024'!J86</f>
        <v>0</v>
      </c>
      <c r="K36" s="122">
        <f>'CT xa-TT-2024'!K86</f>
        <v>0</v>
      </c>
      <c r="L36" s="122">
        <f>'CT xa-TT-2024'!L86</f>
        <v>1000</v>
      </c>
      <c r="M36" s="122">
        <f>'CT xa-TT-2024'!M86</f>
        <v>8000</v>
      </c>
      <c r="N36" s="122">
        <f>'CT xa-TT-2024'!N86</f>
        <v>2100</v>
      </c>
      <c r="O36" s="122">
        <f>'CT xa-TT-2024'!O86</f>
        <v>2500</v>
      </c>
      <c r="P36" s="122">
        <f>'CT xa-TT-2024'!P86</f>
        <v>0</v>
      </c>
      <c r="Q36" s="122">
        <f>'CT xa-TT-2024'!Q86</f>
        <v>0</v>
      </c>
      <c r="R36" s="122">
        <f>'CT xa-TT-2024'!R86</f>
        <v>0</v>
      </c>
      <c r="S36" s="122">
        <f>'CT xa-TT-2024'!S86</f>
        <v>0</v>
      </c>
      <c r="T36" s="122">
        <f>'CT xa-TT-2024'!T86</f>
        <v>1000</v>
      </c>
      <c r="U36" s="122">
        <f>'CT xa-TT-2024'!U86</f>
        <v>1500</v>
      </c>
      <c r="V36" s="122">
        <f>'CT xa-TT-2024'!V86</f>
        <v>4600</v>
      </c>
      <c r="W36" s="125"/>
    </row>
    <row r="37" spans="1:25" ht="16.5" x14ac:dyDescent="0.2">
      <c r="A37" s="208">
        <v>15</v>
      </c>
      <c r="B37" s="190" t="s">
        <v>8</v>
      </c>
      <c r="C37" s="191"/>
      <c r="D37" s="192"/>
      <c r="E37" s="122">
        <f>'CT xa-TT-2024'!E91</f>
        <v>1</v>
      </c>
      <c r="F37" s="122">
        <f>'CT xa-TT-2024'!F91</f>
        <v>14941</v>
      </c>
      <c r="G37" s="122">
        <f>'CT xa-TT-2024'!G91</f>
        <v>0</v>
      </c>
      <c r="H37" s="122">
        <f>'CT xa-TT-2024'!H91</f>
        <v>5000</v>
      </c>
      <c r="I37" s="122">
        <f>'CT xa-TT-2024'!I91</f>
        <v>0</v>
      </c>
      <c r="J37" s="122">
        <f>'CT xa-TT-2024'!J91</f>
        <v>0</v>
      </c>
      <c r="K37" s="122">
        <f>'CT xa-TT-2024'!K91</f>
        <v>4000</v>
      </c>
      <c r="L37" s="122">
        <f>'CT xa-TT-2024'!L91</f>
        <v>1000</v>
      </c>
      <c r="M37" s="122">
        <f>'CT xa-TT-2024'!M91</f>
        <v>0</v>
      </c>
      <c r="N37" s="122">
        <f>'CT xa-TT-2024'!N91</f>
        <v>4000</v>
      </c>
      <c r="O37" s="122">
        <f>'CT xa-TT-2024'!O91</f>
        <v>7493</v>
      </c>
      <c r="P37" s="122">
        <f>'CT xa-TT-2024'!P91</f>
        <v>0</v>
      </c>
      <c r="Q37" s="122">
        <f>'CT xa-TT-2024'!Q91</f>
        <v>0</v>
      </c>
      <c r="R37" s="122">
        <f>'CT xa-TT-2024'!R91</f>
        <v>6493</v>
      </c>
      <c r="S37" s="122">
        <f>'CT xa-TT-2024'!S91</f>
        <v>0</v>
      </c>
      <c r="T37" s="122">
        <f>'CT xa-TT-2024'!T91</f>
        <v>1000</v>
      </c>
      <c r="U37" s="122">
        <f>'CT xa-TT-2024'!U91</f>
        <v>0</v>
      </c>
      <c r="V37" s="122">
        <f>'CT xa-TT-2024'!V91</f>
        <v>11493</v>
      </c>
      <c r="W37" s="125">
        <f>'CT xa-TT-2024'!W91</f>
        <v>0</v>
      </c>
    </row>
    <row r="38" spans="1:25" ht="16.5" x14ac:dyDescent="0.2">
      <c r="A38" s="209">
        <v>16</v>
      </c>
      <c r="B38" s="190" t="s">
        <v>7</v>
      </c>
      <c r="C38" s="191"/>
      <c r="D38" s="192"/>
      <c r="E38" s="122">
        <f>'CT xa-TT-2024'!E96</f>
        <v>1</v>
      </c>
      <c r="F38" s="122">
        <f>'CT xa-TT-2024'!F96</f>
        <v>5000</v>
      </c>
      <c r="G38" s="122">
        <f>'CT xa-TT-2024'!G96</f>
        <v>0</v>
      </c>
      <c r="H38" s="122">
        <f>'CT xa-TT-2024'!H96</f>
        <v>0</v>
      </c>
      <c r="I38" s="122">
        <f>'CT xa-TT-2024'!I96</f>
        <v>0</v>
      </c>
      <c r="J38" s="122">
        <f>'CT xa-TT-2024'!J96</f>
        <v>0</v>
      </c>
      <c r="K38" s="122">
        <f>'CT xa-TT-2024'!K96</f>
        <v>0</v>
      </c>
      <c r="L38" s="122">
        <f>'CT xa-TT-2024'!L96</f>
        <v>0</v>
      </c>
      <c r="M38" s="122">
        <f>'CT xa-TT-2024'!M96</f>
        <v>0</v>
      </c>
      <c r="N38" s="122">
        <f>'CT xa-TT-2024'!N96</f>
        <v>0</v>
      </c>
      <c r="O38" s="122">
        <f>'CT xa-TT-2024'!O96</f>
        <v>1200</v>
      </c>
      <c r="P38" s="122">
        <f>'CT xa-TT-2024'!P96</f>
        <v>0</v>
      </c>
      <c r="Q38" s="122">
        <f>'CT xa-TT-2024'!Q96</f>
        <v>0</v>
      </c>
      <c r="R38" s="122">
        <f>'CT xa-TT-2024'!R96</f>
        <v>1000</v>
      </c>
      <c r="S38" s="122">
        <f>'CT xa-TT-2024'!S96</f>
        <v>0</v>
      </c>
      <c r="T38" s="122">
        <f>'CT xa-TT-2024'!T96</f>
        <v>200</v>
      </c>
      <c r="U38" s="122">
        <f>'CT xa-TT-2024'!U96</f>
        <v>0</v>
      </c>
      <c r="V38" s="122">
        <f>'CT xa-TT-2024'!V96</f>
        <v>1200</v>
      </c>
      <c r="W38" s="125">
        <f>'CT xa-TT-2024'!W96</f>
        <v>0</v>
      </c>
    </row>
    <row r="39" spans="1:25" ht="16.5" x14ac:dyDescent="0.2">
      <c r="A39" s="208">
        <v>17</v>
      </c>
      <c r="B39" s="190" t="s">
        <v>6</v>
      </c>
      <c r="C39" s="191"/>
      <c r="D39" s="192"/>
      <c r="E39" s="122">
        <f>'CT xa-TT-2024'!E99</f>
        <v>2</v>
      </c>
      <c r="F39" s="122">
        <f>'CT xa-TT-2024'!F99</f>
        <v>10000</v>
      </c>
      <c r="G39" s="122">
        <f>'CT xa-TT-2024'!G99</f>
        <v>0</v>
      </c>
      <c r="H39" s="122">
        <f>'CT xa-TT-2024'!H99</f>
        <v>2001</v>
      </c>
      <c r="I39" s="122">
        <f>'CT xa-TT-2024'!I99</f>
        <v>0</v>
      </c>
      <c r="J39" s="122">
        <f>'CT xa-TT-2024'!J99</f>
        <v>0</v>
      </c>
      <c r="K39" s="122">
        <f>'CT xa-TT-2024'!K99</f>
        <v>0</v>
      </c>
      <c r="L39" s="122">
        <f>'CT xa-TT-2024'!L99</f>
        <v>2001</v>
      </c>
      <c r="M39" s="122">
        <f>'CT xa-TT-2024'!M99</f>
        <v>0</v>
      </c>
      <c r="N39" s="122">
        <f>'CT xa-TT-2024'!N99</f>
        <v>0</v>
      </c>
      <c r="O39" s="122">
        <f>'CT xa-TT-2024'!O99</f>
        <v>3200</v>
      </c>
      <c r="P39" s="122">
        <f>'CT xa-TT-2024'!P99</f>
        <v>0</v>
      </c>
      <c r="Q39" s="122">
        <f>'CT xa-TT-2024'!Q99</f>
        <v>0</v>
      </c>
      <c r="R39" s="122">
        <f>'CT xa-TT-2024'!R99</f>
        <v>1000</v>
      </c>
      <c r="S39" s="122">
        <f>'CT xa-TT-2024'!S99</f>
        <v>0</v>
      </c>
      <c r="T39" s="122">
        <f>'CT xa-TT-2024'!T99</f>
        <v>2200</v>
      </c>
      <c r="U39" s="122">
        <f>'CT xa-TT-2024'!U99</f>
        <v>0</v>
      </c>
      <c r="V39" s="122">
        <f>'CT xa-TT-2024'!V99</f>
        <v>3200</v>
      </c>
      <c r="W39" s="125">
        <f>'CT xa-TT-2024'!W99</f>
        <v>0</v>
      </c>
    </row>
    <row r="40" spans="1:25" ht="16.5" x14ac:dyDescent="0.2">
      <c r="A40" s="209">
        <v>18</v>
      </c>
      <c r="B40" s="190" t="s">
        <v>5</v>
      </c>
      <c r="C40" s="191"/>
      <c r="D40" s="192"/>
      <c r="E40" s="122">
        <f>'CT xa-TT-2024'!E103</f>
        <v>4</v>
      </c>
      <c r="F40" s="122">
        <f>'CT xa-TT-2024'!F103</f>
        <v>22868.246999999999</v>
      </c>
      <c r="G40" s="122">
        <f>'CT xa-TT-2024'!G103</f>
        <v>0</v>
      </c>
      <c r="H40" s="122">
        <f>'CT xa-TT-2024'!H103</f>
        <v>17000</v>
      </c>
      <c r="I40" s="122">
        <f>'CT xa-TT-2024'!I103</f>
        <v>0</v>
      </c>
      <c r="J40" s="122">
        <f>'CT xa-TT-2024'!J103</f>
        <v>0</v>
      </c>
      <c r="K40" s="122">
        <f>'CT xa-TT-2024'!K103</f>
        <v>12000</v>
      </c>
      <c r="L40" s="122">
        <f>'CT xa-TT-2024'!L103</f>
        <v>2000</v>
      </c>
      <c r="M40" s="122">
        <f>'CT xa-TT-2024'!M103</f>
        <v>3000</v>
      </c>
      <c r="N40" s="122">
        <f>'CT xa-TT-2024'!N103</f>
        <v>12000</v>
      </c>
      <c r="O40" s="122">
        <f>'CT xa-TT-2024'!O103</f>
        <v>6200</v>
      </c>
      <c r="P40" s="122">
        <f>'CT xa-TT-2024'!P103</f>
        <v>0</v>
      </c>
      <c r="Q40" s="122">
        <f>'CT xa-TT-2024'!Q103</f>
        <v>3000</v>
      </c>
      <c r="R40" s="122">
        <f>'CT xa-TT-2024'!R103</f>
        <v>2500</v>
      </c>
      <c r="S40" s="122">
        <f>'CT xa-TT-2024'!S103</f>
        <v>0</v>
      </c>
      <c r="T40" s="122">
        <f>'CT xa-TT-2024'!T103</f>
        <v>700</v>
      </c>
      <c r="U40" s="122">
        <f>'CT xa-TT-2024'!U103</f>
        <v>0</v>
      </c>
      <c r="V40" s="122">
        <f>'CT xa-TT-2024'!V103</f>
        <v>18200</v>
      </c>
      <c r="W40" s="125">
        <f>'CT xa-TT-2024'!W103</f>
        <v>0</v>
      </c>
    </row>
    <row r="41" spans="1:25" ht="16.5" x14ac:dyDescent="0.2">
      <c r="A41" s="208">
        <v>19</v>
      </c>
      <c r="B41" s="190" t="s">
        <v>4</v>
      </c>
      <c r="C41" s="191"/>
      <c r="D41" s="192"/>
      <c r="E41" s="122">
        <f>'CT xa-TT-2024'!E119</f>
        <v>6</v>
      </c>
      <c r="F41" s="122">
        <f>'CT xa-TT-2024'!F119</f>
        <v>76000</v>
      </c>
      <c r="G41" s="122">
        <f>'CT xa-TT-2024'!G119</f>
        <v>0</v>
      </c>
      <c r="H41" s="122">
        <f>'CT xa-TT-2024'!H119</f>
        <v>29000</v>
      </c>
      <c r="I41" s="122">
        <f>'CT xa-TT-2024'!I119</f>
        <v>0</v>
      </c>
      <c r="J41" s="122">
        <f>'CT xa-TT-2024'!J119</f>
        <v>0</v>
      </c>
      <c r="K41" s="122">
        <f>'CT xa-TT-2024'!K119</f>
        <v>0</v>
      </c>
      <c r="L41" s="122">
        <f>'CT xa-TT-2024'!L119</f>
        <v>29000</v>
      </c>
      <c r="M41" s="122">
        <f>'CT xa-TT-2024'!M119</f>
        <v>0</v>
      </c>
      <c r="N41" s="122">
        <f>'CT xa-TT-2024'!N119</f>
        <v>22000</v>
      </c>
      <c r="O41" s="122">
        <f>'CT xa-TT-2024'!O119</f>
        <v>24500</v>
      </c>
      <c r="P41" s="122">
        <f>'CT xa-TT-2024'!P119</f>
        <v>0</v>
      </c>
      <c r="Q41" s="122">
        <f>'CT xa-TT-2024'!Q119</f>
        <v>0</v>
      </c>
      <c r="R41" s="122">
        <f>'CT xa-TT-2024'!R119</f>
        <v>0</v>
      </c>
      <c r="S41" s="122">
        <f>'CT xa-TT-2024'!S119</f>
        <v>0</v>
      </c>
      <c r="T41" s="122">
        <f>'CT xa-TT-2024'!T119</f>
        <v>24500</v>
      </c>
      <c r="U41" s="122">
        <f>'CT xa-TT-2024'!U119</f>
        <v>0</v>
      </c>
      <c r="V41" s="122">
        <f>'CT xa-TT-2024'!V119</f>
        <v>46500</v>
      </c>
      <c r="W41" s="125">
        <f>'CT xa-TT-2024'!W119</f>
        <v>0</v>
      </c>
    </row>
    <row r="42" spans="1:25" ht="16.5" x14ac:dyDescent="0.2">
      <c r="A42" s="209">
        <v>20</v>
      </c>
      <c r="B42" s="190" t="s">
        <v>3</v>
      </c>
      <c r="C42" s="191"/>
      <c r="D42" s="192"/>
      <c r="E42" s="122">
        <f>'CT xa-TT-2024'!E128</f>
        <v>4</v>
      </c>
      <c r="F42" s="122">
        <f>'CT xa-TT-2024'!F128</f>
        <v>40000</v>
      </c>
      <c r="G42" s="122">
        <f>'CT xa-TT-2024'!G128</f>
        <v>0</v>
      </c>
      <c r="H42" s="122">
        <f>'CT xa-TT-2024'!H128</f>
        <v>0</v>
      </c>
      <c r="I42" s="122">
        <f>'CT xa-TT-2024'!I128</f>
        <v>0</v>
      </c>
      <c r="J42" s="122">
        <f>'CT xa-TT-2024'!J128</f>
        <v>0</v>
      </c>
      <c r="K42" s="122">
        <f>'CT xa-TT-2024'!K128</f>
        <v>0</v>
      </c>
      <c r="L42" s="122">
        <f>'CT xa-TT-2024'!L128</f>
        <v>0</v>
      </c>
      <c r="M42" s="122">
        <f>'CT xa-TT-2024'!M128</f>
        <v>0</v>
      </c>
      <c r="N42" s="122">
        <f>'CT xa-TT-2024'!N128</f>
        <v>0</v>
      </c>
      <c r="O42" s="122">
        <f>'CT xa-TT-2024'!O128</f>
        <v>6400</v>
      </c>
      <c r="P42" s="122">
        <f>'CT xa-TT-2024'!P128</f>
        <v>0</v>
      </c>
      <c r="Q42" s="122">
        <f>'CT xa-TT-2024'!Q128</f>
        <v>0</v>
      </c>
      <c r="R42" s="122">
        <f>'CT xa-TT-2024'!R128</f>
        <v>0</v>
      </c>
      <c r="S42" s="122">
        <f>'CT xa-TT-2024'!S128</f>
        <v>0</v>
      </c>
      <c r="T42" s="122">
        <f>'CT xa-TT-2024'!T128</f>
        <v>6400</v>
      </c>
      <c r="U42" s="122">
        <f>'CT xa-TT-2024'!U128</f>
        <v>0</v>
      </c>
      <c r="V42" s="122">
        <f>'CT xa-TT-2024'!V128</f>
        <v>6400</v>
      </c>
      <c r="W42" s="125">
        <f>'CT xa-TT-2024'!W128</f>
        <v>0</v>
      </c>
    </row>
    <row r="43" spans="1:25" ht="16.5" x14ac:dyDescent="0.2">
      <c r="A43" s="208">
        <v>21</v>
      </c>
      <c r="B43" s="190" t="s">
        <v>1</v>
      </c>
      <c r="C43" s="191"/>
      <c r="D43" s="192"/>
      <c r="E43" s="122">
        <f>'CT xa-TT-2024'!E111</f>
        <v>2</v>
      </c>
      <c r="F43" s="122">
        <f>'CT xa-TT-2024'!F111</f>
        <v>12000</v>
      </c>
      <c r="G43" s="122">
        <f>'CT xa-TT-2024'!G111</f>
        <v>0</v>
      </c>
      <c r="H43" s="122">
        <f>'CT xa-TT-2024'!H111</f>
        <v>32000</v>
      </c>
      <c r="I43" s="122">
        <f>'CT xa-TT-2024'!I111</f>
        <v>0</v>
      </c>
      <c r="J43" s="122">
        <f>'CT xa-TT-2024'!J111</f>
        <v>0</v>
      </c>
      <c r="K43" s="122">
        <f>'CT xa-TT-2024'!K111</f>
        <v>8000</v>
      </c>
      <c r="L43" s="122">
        <f>'CT xa-TT-2024'!L111</f>
        <v>1000</v>
      </c>
      <c r="M43" s="122">
        <f>'CT xa-TT-2024'!M111</f>
        <v>23000</v>
      </c>
      <c r="N43" s="122">
        <f>'CT xa-TT-2024'!N111</f>
        <v>8000</v>
      </c>
      <c r="O43" s="122">
        <f>'CT xa-TT-2024'!O111</f>
        <v>6400</v>
      </c>
      <c r="P43" s="122">
        <f>'CT xa-TT-2024'!P111</f>
        <v>0</v>
      </c>
      <c r="Q43" s="122">
        <f>'CT xa-TT-2024'!Q111</f>
        <v>0</v>
      </c>
      <c r="R43" s="122">
        <f>'CT xa-TT-2024'!R111</f>
        <v>3200</v>
      </c>
      <c r="S43" s="122">
        <f>'CT xa-TT-2024'!S111</f>
        <v>0</v>
      </c>
      <c r="T43" s="122">
        <f>'CT xa-TT-2024'!T111</f>
        <v>1200</v>
      </c>
      <c r="U43" s="122">
        <f>'CT xa-TT-2024'!U111</f>
        <v>2000</v>
      </c>
      <c r="V43" s="122">
        <f>'CT xa-TT-2024'!V111</f>
        <v>10400</v>
      </c>
      <c r="W43" s="125">
        <f>'CT xa-TT-2024'!W111</f>
        <v>0</v>
      </c>
    </row>
    <row r="44" spans="1:25" ht="16.5" x14ac:dyDescent="0.2">
      <c r="A44" s="209">
        <v>22</v>
      </c>
      <c r="B44" s="190" t="s">
        <v>0</v>
      </c>
      <c r="C44" s="191"/>
      <c r="D44" s="192"/>
      <c r="E44" s="122">
        <f>'CT xa-TT-2024'!E116</f>
        <v>1</v>
      </c>
      <c r="F44" s="122">
        <f>'CT xa-TT-2024'!F116</f>
        <v>5000</v>
      </c>
      <c r="G44" s="122">
        <f>'CT xa-TT-2024'!G116</f>
        <v>0</v>
      </c>
      <c r="H44" s="122">
        <f>'CT xa-TT-2024'!H116</f>
        <v>0</v>
      </c>
      <c r="I44" s="122">
        <f>'CT xa-TT-2024'!I116</f>
        <v>0</v>
      </c>
      <c r="J44" s="122">
        <f>'CT xa-TT-2024'!J116</f>
        <v>0</v>
      </c>
      <c r="K44" s="122">
        <f>'CT xa-TT-2024'!K116</f>
        <v>0</v>
      </c>
      <c r="L44" s="122">
        <f>'CT xa-TT-2024'!L116</f>
        <v>0</v>
      </c>
      <c r="M44" s="122">
        <f>'CT xa-TT-2024'!M116</f>
        <v>0</v>
      </c>
      <c r="N44" s="122">
        <f>'CT xa-TT-2024'!N116</f>
        <v>0</v>
      </c>
      <c r="O44" s="122">
        <f>'CT xa-TT-2024'!O116</f>
        <v>1200</v>
      </c>
      <c r="P44" s="122">
        <f>'CT xa-TT-2024'!P116</f>
        <v>0</v>
      </c>
      <c r="Q44" s="122">
        <f>'CT xa-TT-2024'!Q116</f>
        <v>0</v>
      </c>
      <c r="R44" s="122">
        <f>'CT xa-TT-2024'!R116</f>
        <v>1000</v>
      </c>
      <c r="S44" s="122">
        <f>'CT xa-TT-2024'!S116</f>
        <v>0</v>
      </c>
      <c r="T44" s="122">
        <f>'CT xa-TT-2024'!T116</f>
        <v>200</v>
      </c>
      <c r="U44" s="122">
        <f>'CT xa-TT-2024'!U116</f>
        <v>0</v>
      </c>
      <c r="V44" s="122">
        <f>'CT xa-TT-2024'!V116</f>
        <v>0</v>
      </c>
      <c r="W44" s="125">
        <f>'CT xa-TT-2024'!W116</f>
        <v>0</v>
      </c>
    </row>
    <row r="45" spans="1:25" s="165" customFormat="1" ht="15.75" x14ac:dyDescent="0.25">
      <c r="A45" s="197"/>
      <c r="B45" s="196" t="s">
        <v>95</v>
      </c>
      <c r="C45" s="197"/>
      <c r="D45" s="197"/>
      <c r="E45" s="198">
        <f>SUM(E46:E60)</f>
        <v>32</v>
      </c>
      <c r="F45" s="198">
        <f t="shared" ref="F45:V45" si="10">SUM(F46:F60)</f>
        <v>150335.03200000001</v>
      </c>
      <c r="G45" s="198">
        <f t="shared" si="10"/>
        <v>0</v>
      </c>
      <c r="H45" s="198">
        <f t="shared" si="10"/>
        <v>0</v>
      </c>
      <c r="I45" s="198">
        <f t="shared" si="10"/>
        <v>0</v>
      </c>
      <c r="J45" s="198">
        <f t="shared" si="10"/>
        <v>0</v>
      </c>
      <c r="K45" s="198">
        <f t="shared" si="10"/>
        <v>0</v>
      </c>
      <c r="L45" s="198">
        <f t="shared" si="10"/>
        <v>0</v>
      </c>
      <c r="M45" s="198">
        <f t="shared" si="10"/>
        <v>0</v>
      </c>
      <c r="N45" s="198">
        <f t="shared" si="10"/>
        <v>35730</v>
      </c>
      <c r="O45" s="198">
        <f t="shared" si="10"/>
        <v>57383</v>
      </c>
      <c r="P45" s="198">
        <f t="shared" si="10"/>
        <v>25298</v>
      </c>
      <c r="Q45" s="198">
        <f t="shared" si="10"/>
        <v>7600</v>
      </c>
      <c r="R45" s="198">
        <f t="shared" si="10"/>
        <v>4000</v>
      </c>
      <c r="S45" s="198">
        <f t="shared" si="10"/>
        <v>0</v>
      </c>
      <c r="T45" s="198">
        <f t="shared" si="10"/>
        <v>8200</v>
      </c>
      <c r="U45" s="198">
        <f t="shared" si="10"/>
        <v>12285</v>
      </c>
      <c r="V45" s="198">
        <f t="shared" si="10"/>
        <v>47179</v>
      </c>
      <c r="W45" s="125" t="s">
        <v>200</v>
      </c>
      <c r="X45" s="199"/>
      <c r="Y45" s="199"/>
    </row>
    <row r="46" spans="1:25" ht="21.75" customHeight="1" x14ac:dyDescent="0.2">
      <c r="A46" s="209">
        <v>1</v>
      </c>
      <c r="B46" s="190" t="s">
        <v>20</v>
      </c>
      <c r="C46" s="191"/>
      <c r="D46" s="192"/>
      <c r="E46" s="122">
        <f>'CT-NTM 2024'!E13</f>
        <v>5</v>
      </c>
      <c r="F46" s="122">
        <f>'CT-NTM 2024'!F13</f>
        <v>7200</v>
      </c>
      <c r="G46" s="122">
        <f>'CT-NTM 2024'!G13</f>
        <v>0</v>
      </c>
      <c r="H46" s="122">
        <f>'CT-NTM 2024'!H13</f>
        <v>0</v>
      </c>
      <c r="I46" s="122">
        <f>'CT-NTM 2024'!I13</f>
        <v>0</v>
      </c>
      <c r="J46" s="122">
        <f>'CT-NTM 2024'!J13</f>
        <v>0</v>
      </c>
      <c r="K46" s="122">
        <f>'CT-NTM 2024'!K13</f>
        <v>0</v>
      </c>
      <c r="L46" s="122">
        <f>'CT-NTM 2024'!L13</f>
        <v>0</v>
      </c>
      <c r="M46" s="122">
        <f>'CT-NTM 2024'!M13</f>
        <v>0</v>
      </c>
      <c r="N46" s="122">
        <f>'CT-NTM 2024'!N13</f>
        <v>0</v>
      </c>
      <c r="O46" s="122">
        <f>'CT-NTM 2024'!O13</f>
        <v>6142</v>
      </c>
      <c r="P46" s="122">
        <f>'CT-NTM 2024'!P13</f>
        <v>3352</v>
      </c>
      <c r="Q46" s="122">
        <f>'CT-NTM 2024'!Q13</f>
        <v>0</v>
      </c>
      <c r="R46" s="122">
        <f>'CT-NTM 2024'!R13</f>
        <v>0</v>
      </c>
      <c r="S46" s="122">
        <f>'CT-NTM 2024'!S13</f>
        <v>0</v>
      </c>
      <c r="T46" s="122">
        <f>'CT-NTM 2024'!T13</f>
        <v>250</v>
      </c>
      <c r="U46" s="122">
        <f>'CT-NTM 2024'!U13</f>
        <v>2540</v>
      </c>
      <c r="V46" s="122">
        <f>'CT-NTM 2024'!V19</f>
        <v>5352</v>
      </c>
      <c r="W46" s="125"/>
    </row>
    <row r="47" spans="1:25" ht="21.75" customHeight="1" x14ac:dyDescent="0.2">
      <c r="A47" s="209">
        <v>2</v>
      </c>
      <c r="B47" s="190" t="s">
        <v>21</v>
      </c>
      <c r="C47" s="191"/>
      <c r="D47" s="192"/>
      <c r="E47" s="122">
        <f>'CT-NTM 2024'!E19</f>
        <v>1</v>
      </c>
      <c r="F47" s="122">
        <f>'CT-NTM 2024'!F19</f>
        <v>9000</v>
      </c>
      <c r="G47" s="122">
        <f>'CT-NTM 2024'!G19</f>
        <v>0</v>
      </c>
      <c r="H47" s="122">
        <f>'CT-NTM 2024'!H19</f>
        <v>0</v>
      </c>
      <c r="I47" s="122">
        <f>'CT-NTM 2024'!I19</f>
        <v>0</v>
      </c>
      <c r="J47" s="122">
        <f>'CT-NTM 2024'!J19</f>
        <v>0</v>
      </c>
      <c r="K47" s="122">
        <f>'CT-NTM 2024'!K19</f>
        <v>0</v>
      </c>
      <c r="L47" s="122">
        <f>'CT-NTM 2024'!L19</f>
        <v>0</v>
      </c>
      <c r="M47" s="122">
        <f>'CT-NTM 2024'!M19</f>
        <v>0</v>
      </c>
      <c r="N47" s="122">
        <f>'CT-NTM 2024'!N19</f>
        <v>0</v>
      </c>
      <c r="O47" s="122">
        <f>'CT-NTM 2024'!O19</f>
        <v>5352</v>
      </c>
      <c r="P47" s="122">
        <f>'CT-NTM 2024'!P19</f>
        <v>3352</v>
      </c>
      <c r="Q47" s="122">
        <f>'CT-NTM 2024'!Q19</f>
        <v>1000</v>
      </c>
      <c r="R47" s="122">
        <f>'CT-NTM 2024'!R19</f>
        <v>0</v>
      </c>
      <c r="S47" s="122">
        <f>'CT-NTM 2024'!S19</f>
        <v>0</v>
      </c>
      <c r="T47" s="122">
        <f>'CT-NTM 2024'!T19</f>
        <v>1000</v>
      </c>
      <c r="U47" s="122">
        <f>'CT-NTM 2024'!U19</f>
        <v>0</v>
      </c>
      <c r="V47" s="122">
        <f>'CT-NTM 2024'!V19</f>
        <v>5352</v>
      </c>
      <c r="W47" s="125"/>
    </row>
    <row r="48" spans="1:25" ht="21.75" customHeight="1" x14ac:dyDescent="0.2">
      <c r="A48" s="209">
        <v>3</v>
      </c>
      <c r="B48" s="190" t="s">
        <v>19</v>
      </c>
      <c r="C48" s="191"/>
      <c r="D48" s="192"/>
      <c r="E48" s="122">
        <f>'CT-NTM 2024'!E21</f>
        <v>2</v>
      </c>
      <c r="F48" s="122">
        <f>'CT-NTM 2024'!F21</f>
        <v>22290</v>
      </c>
      <c r="G48" s="122">
        <f>'CT-NTM 2024'!G21</f>
        <v>0</v>
      </c>
      <c r="H48" s="122">
        <f>'CT-NTM 2024'!H21</f>
        <v>0</v>
      </c>
      <c r="I48" s="122">
        <f>'CT-NTM 2024'!I21</f>
        <v>0</v>
      </c>
      <c r="J48" s="122">
        <f>'CT-NTM 2024'!J21</f>
        <v>0</v>
      </c>
      <c r="K48" s="122">
        <f>'CT-NTM 2024'!K21</f>
        <v>0</v>
      </c>
      <c r="L48" s="122">
        <f>'CT-NTM 2024'!L21</f>
        <v>0</v>
      </c>
      <c r="M48" s="122">
        <f>'CT-NTM 2024'!M21</f>
        <v>0</v>
      </c>
      <c r="N48" s="122">
        <f>'CT-NTM 2024'!N21</f>
        <v>10000</v>
      </c>
      <c r="O48" s="122">
        <f>'CT-NTM 2024'!O21</f>
        <v>1589</v>
      </c>
      <c r="P48" s="122">
        <f>'CT-NTM 2024'!P21</f>
        <v>262</v>
      </c>
      <c r="Q48" s="122">
        <f>'CT-NTM 2024'!Q21</f>
        <v>1000</v>
      </c>
      <c r="R48" s="122">
        <f>'CT-NTM 2024'!R21</f>
        <v>0</v>
      </c>
      <c r="S48" s="122">
        <f>'CT-NTM 2024'!S21</f>
        <v>0</v>
      </c>
      <c r="T48" s="122">
        <f>'CT-NTM 2024'!T21</f>
        <v>327</v>
      </c>
      <c r="U48" s="122">
        <f>'CT-NTM 2024'!U21</f>
        <v>0</v>
      </c>
      <c r="V48" s="122">
        <f>'CT-NTM 2024'!V21</f>
        <v>11589</v>
      </c>
      <c r="W48" s="125"/>
    </row>
    <row r="49" spans="1:25" ht="21.75" customHeight="1" x14ac:dyDescent="0.2">
      <c r="A49" s="209">
        <v>4</v>
      </c>
      <c r="B49" s="190" t="s">
        <v>17</v>
      </c>
      <c r="C49" s="191"/>
      <c r="D49" s="192"/>
      <c r="E49" s="122">
        <f>'CT-NTM 2024'!E24</f>
        <v>2</v>
      </c>
      <c r="F49" s="122">
        <f>'CT-NTM 2024'!F24</f>
        <v>16600</v>
      </c>
      <c r="G49" s="122">
        <f>'CT-NTM 2024'!G24</f>
        <v>0</v>
      </c>
      <c r="H49" s="122">
        <f>'CT-NTM 2024'!H24</f>
        <v>0</v>
      </c>
      <c r="I49" s="122">
        <f>'CT-NTM 2024'!I24</f>
        <v>0</v>
      </c>
      <c r="J49" s="122">
        <f>'CT-NTM 2024'!J24</f>
        <v>0</v>
      </c>
      <c r="K49" s="122">
        <f>'CT-NTM 2024'!K24</f>
        <v>0</v>
      </c>
      <c r="L49" s="122">
        <f>'CT-NTM 2024'!L24</f>
        <v>0</v>
      </c>
      <c r="M49" s="122">
        <f>'CT-NTM 2024'!M24</f>
        <v>0</v>
      </c>
      <c r="N49" s="122">
        <f>'CT-NTM 2024'!N24</f>
        <v>500</v>
      </c>
      <c r="O49" s="122">
        <f>'CT-NTM 2024'!O24</f>
        <v>4052</v>
      </c>
      <c r="P49" s="122">
        <f>'CT-NTM 2024'!P24</f>
        <v>3352</v>
      </c>
      <c r="Q49" s="122">
        <f>'CT-NTM 2024'!Q24</f>
        <v>0</v>
      </c>
      <c r="R49" s="122">
        <f>'CT-NTM 2024'!R24</f>
        <v>0</v>
      </c>
      <c r="S49" s="122">
        <f>'CT-NTM 2024'!S24</f>
        <v>0</v>
      </c>
      <c r="T49" s="122">
        <f>'CT-NTM 2024'!T24</f>
        <v>700</v>
      </c>
      <c r="U49" s="122">
        <f>'CT-NTM 2024'!U24</f>
        <v>0</v>
      </c>
      <c r="V49" s="122"/>
      <c r="W49" s="125"/>
    </row>
    <row r="50" spans="1:25" ht="21.75" customHeight="1" x14ac:dyDescent="0.2">
      <c r="A50" s="209">
        <v>5</v>
      </c>
      <c r="B50" s="190" t="s">
        <v>18</v>
      </c>
      <c r="C50" s="191"/>
      <c r="D50" s="192"/>
      <c r="E50" s="122">
        <f>'CT-NTM 2024'!E27</f>
        <v>1</v>
      </c>
      <c r="F50" s="122">
        <f>'CT-NTM 2024'!F27</f>
        <v>5200</v>
      </c>
      <c r="G50" s="122">
        <f>'CT-NTM 2024'!G27</f>
        <v>0</v>
      </c>
      <c r="H50" s="122">
        <f>'CT-NTM 2024'!H27</f>
        <v>0</v>
      </c>
      <c r="I50" s="122">
        <f>'CT-NTM 2024'!I27</f>
        <v>0</v>
      </c>
      <c r="J50" s="122">
        <f>'CT-NTM 2024'!J27</f>
        <v>0</v>
      </c>
      <c r="K50" s="122">
        <f>'CT-NTM 2024'!K27</f>
        <v>0</v>
      </c>
      <c r="L50" s="122">
        <f>'CT-NTM 2024'!L27</f>
        <v>0</v>
      </c>
      <c r="M50" s="122">
        <f>'CT-NTM 2024'!M27</f>
        <v>0</v>
      </c>
      <c r="N50" s="122">
        <f>'CT-NTM 2024'!N27</f>
        <v>3090</v>
      </c>
      <c r="O50" s="122">
        <f>'CT-NTM 2024'!O27</f>
        <v>562</v>
      </c>
      <c r="P50" s="122">
        <f>'CT-NTM 2024'!P27</f>
        <v>262</v>
      </c>
      <c r="Q50" s="122">
        <f>'CT-NTM 2024'!Q27</f>
        <v>300</v>
      </c>
      <c r="R50" s="122">
        <f>'CT-NTM 2024'!R27</f>
        <v>0</v>
      </c>
      <c r="S50" s="122">
        <f>'CT-NTM 2024'!S27</f>
        <v>0</v>
      </c>
      <c r="T50" s="122">
        <f>'CT-NTM 2024'!T27</f>
        <v>0</v>
      </c>
      <c r="U50" s="122">
        <f>'CT-NTM 2024'!U27</f>
        <v>0</v>
      </c>
      <c r="V50" s="122">
        <f>'CT-NTM 2024'!V27</f>
        <v>3652</v>
      </c>
      <c r="W50" s="125"/>
    </row>
    <row r="51" spans="1:25" ht="21.75" customHeight="1" x14ac:dyDescent="0.2">
      <c r="A51" s="209">
        <v>6</v>
      </c>
      <c r="B51" s="190" t="s">
        <v>16</v>
      </c>
      <c r="C51" s="191"/>
      <c r="D51" s="192"/>
      <c r="E51" s="122">
        <f>'CT-NTM 2024'!E29</f>
        <v>3</v>
      </c>
      <c r="F51" s="122">
        <f>'CT-NTM 2024'!F29</f>
        <v>8500</v>
      </c>
      <c r="G51" s="122">
        <f>'CT-NTM 2024'!G29</f>
        <v>0</v>
      </c>
      <c r="H51" s="122">
        <f>'CT-NTM 2024'!H29</f>
        <v>0</v>
      </c>
      <c r="I51" s="122">
        <f>'CT-NTM 2024'!I29</f>
        <v>0</v>
      </c>
      <c r="J51" s="122">
        <f>'CT-NTM 2024'!J29</f>
        <v>0</v>
      </c>
      <c r="K51" s="122">
        <f>'CT-NTM 2024'!K29</f>
        <v>0</v>
      </c>
      <c r="L51" s="122">
        <f>'CT-NTM 2024'!L29</f>
        <v>0</v>
      </c>
      <c r="M51" s="122">
        <f>'CT-NTM 2024'!M29</f>
        <v>0</v>
      </c>
      <c r="N51" s="122">
        <f>'CT-NTM 2024'!N29</f>
        <v>0</v>
      </c>
      <c r="O51" s="122">
        <f>'CT-NTM 2024'!O29</f>
        <v>1600</v>
      </c>
      <c r="P51" s="122">
        <f>'CT-NTM 2024'!P29</f>
        <v>0</v>
      </c>
      <c r="Q51" s="122">
        <f>'CT-NTM 2024'!Q29</f>
        <v>0</v>
      </c>
      <c r="R51" s="122">
        <f>'CT-NTM 2024'!R29</f>
        <v>0</v>
      </c>
      <c r="S51" s="122">
        <f>'CT-NTM 2024'!S29</f>
        <v>0</v>
      </c>
      <c r="T51" s="122">
        <f>'CT-NTM 2024'!T29</f>
        <v>600</v>
      </c>
      <c r="U51" s="122">
        <f>'CT-NTM 2024'!U29</f>
        <v>1000</v>
      </c>
      <c r="V51" s="122"/>
      <c r="W51" s="125"/>
    </row>
    <row r="52" spans="1:25" ht="21.75" customHeight="1" x14ac:dyDescent="0.2">
      <c r="A52" s="209">
        <v>7</v>
      </c>
      <c r="B52" s="190" t="s">
        <v>15</v>
      </c>
      <c r="C52" s="191"/>
      <c r="D52" s="192"/>
      <c r="E52" s="122">
        <f>'CT-NTM 2024'!E33</f>
        <v>1</v>
      </c>
      <c r="F52" s="122">
        <f>'CT-NTM 2024'!F33</f>
        <v>4000</v>
      </c>
      <c r="G52" s="122">
        <f>'CT-NTM 2024'!G33</f>
        <v>0</v>
      </c>
      <c r="H52" s="122">
        <f>'CT-NTM 2024'!H33</f>
        <v>0</v>
      </c>
      <c r="I52" s="122">
        <f>'CT-NTM 2024'!I33</f>
        <v>0</v>
      </c>
      <c r="J52" s="122">
        <f>'CT-NTM 2024'!J33</f>
        <v>0</v>
      </c>
      <c r="K52" s="122">
        <f>'CT-NTM 2024'!K33</f>
        <v>0</v>
      </c>
      <c r="L52" s="122">
        <f>'CT-NTM 2024'!L33</f>
        <v>0</v>
      </c>
      <c r="M52" s="122">
        <f>'CT-NTM 2024'!M33</f>
        <v>0</v>
      </c>
      <c r="N52" s="122">
        <f>'CT-NTM 2024'!N33</f>
        <v>0</v>
      </c>
      <c r="O52" s="122">
        <f>'CT-NTM 2024'!O33</f>
        <v>1562</v>
      </c>
      <c r="P52" s="122">
        <f>'CT-NTM 2024'!P33</f>
        <v>262</v>
      </c>
      <c r="Q52" s="122">
        <f>'CT-NTM 2024'!Q33</f>
        <v>300</v>
      </c>
      <c r="R52" s="122">
        <f>'CT-NTM 2024'!R33</f>
        <v>0</v>
      </c>
      <c r="S52" s="122">
        <f>'CT-NTM 2024'!S33</f>
        <v>0</v>
      </c>
      <c r="T52" s="122">
        <f>'CT-NTM 2024'!T33</f>
        <v>1000</v>
      </c>
      <c r="U52" s="122">
        <f>'CT-NTM 2024'!U33</f>
        <v>0</v>
      </c>
      <c r="V52" s="122"/>
      <c r="W52" s="125"/>
    </row>
    <row r="53" spans="1:25" ht="21.75" customHeight="1" x14ac:dyDescent="0.2">
      <c r="A53" s="209">
        <v>8</v>
      </c>
      <c r="B53" s="190" t="s">
        <v>13</v>
      </c>
      <c r="C53" s="191"/>
      <c r="D53" s="192"/>
      <c r="E53" s="122">
        <f>'CT-NTM 2024'!E35</f>
        <v>1</v>
      </c>
      <c r="F53" s="122">
        <f>'CT-NTM 2024'!F35</f>
        <v>1019</v>
      </c>
      <c r="G53" s="122">
        <f>'CT-NTM 2024'!G35</f>
        <v>0</v>
      </c>
      <c r="H53" s="122">
        <f>'CT-NTM 2024'!H35</f>
        <v>0</v>
      </c>
      <c r="I53" s="122">
        <f>'CT-NTM 2024'!I35</f>
        <v>0</v>
      </c>
      <c r="J53" s="122">
        <f>'CT-NTM 2024'!J35</f>
        <v>0</v>
      </c>
      <c r="K53" s="122">
        <f>'CT-NTM 2024'!K35</f>
        <v>0</v>
      </c>
      <c r="L53" s="122">
        <f>'CT-NTM 2024'!L35</f>
        <v>0</v>
      </c>
      <c r="M53" s="122">
        <f>'CT-NTM 2024'!M35</f>
        <v>0</v>
      </c>
      <c r="N53" s="122">
        <f>'CT-NTM 2024'!N35</f>
        <v>50</v>
      </c>
      <c r="O53" s="122">
        <f>'CT-NTM 2024'!O35</f>
        <v>962</v>
      </c>
      <c r="P53" s="122">
        <f>'CT-NTM 2024'!P35</f>
        <v>262</v>
      </c>
      <c r="Q53" s="122">
        <f>'CT-NTM 2024'!Q35</f>
        <v>300</v>
      </c>
      <c r="R53" s="122">
        <f>'CT-NTM 2024'!R35</f>
        <v>0</v>
      </c>
      <c r="S53" s="122">
        <f>'CT-NTM 2024'!S35</f>
        <v>0</v>
      </c>
      <c r="T53" s="122">
        <f>'CT-NTM 2024'!T35</f>
        <v>400</v>
      </c>
      <c r="U53" s="122">
        <f>'CT-NTM 2024'!U35</f>
        <v>0</v>
      </c>
      <c r="V53" s="122"/>
      <c r="W53" s="125"/>
    </row>
    <row r="54" spans="1:25" ht="21.75" customHeight="1" x14ac:dyDescent="0.2">
      <c r="A54" s="209">
        <v>9</v>
      </c>
      <c r="B54" s="190" t="s">
        <v>10</v>
      </c>
      <c r="C54" s="191"/>
      <c r="D54" s="192"/>
      <c r="E54" s="122">
        <f>'CT-NTM 2024'!E37</f>
        <v>2</v>
      </c>
      <c r="F54" s="122">
        <f>'CT-NTM 2024'!F37</f>
        <v>17000</v>
      </c>
      <c r="G54" s="122">
        <f>'CT-NTM 2024'!G37</f>
        <v>0</v>
      </c>
      <c r="H54" s="122">
        <f>'CT-NTM 2024'!H37</f>
        <v>0</v>
      </c>
      <c r="I54" s="122">
        <f>'CT-NTM 2024'!I37</f>
        <v>0</v>
      </c>
      <c r="J54" s="122">
        <f>'CT-NTM 2024'!J37</f>
        <v>0</v>
      </c>
      <c r="K54" s="122">
        <f>'CT-NTM 2024'!K37</f>
        <v>0</v>
      </c>
      <c r="L54" s="122">
        <f>'CT-NTM 2024'!L37</f>
        <v>0</v>
      </c>
      <c r="M54" s="122">
        <f>'CT-NTM 2024'!M37</f>
        <v>0</v>
      </c>
      <c r="N54" s="122">
        <f>'CT-NTM 2024'!N37</f>
        <v>13190</v>
      </c>
      <c r="O54" s="122">
        <f>'CT-NTM 2024'!O37</f>
        <v>1262</v>
      </c>
      <c r="P54" s="122">
        <f>'CT-NTM 2024'!P37</f>
        <v>262</v>
      </c>
      <c r="Q54" s="122">
        <f>'CT-NTM 2024'!Q37</f>
        <v>1000</v>
      </c>
      <c r="R54" s="122">
        <f>'CT-NTM 2024'!R37</f>
        <v>0</v>
      </c>
      <c r="S54" s="122">
        <f>'CT-NTM 2024'!S37</f>
        <v>0</v>
      </c>
      <c r="T54" s="122">
        <f>'CT-NTM 2024'!T37</f>
        <v>0</v>
      </c>
      <c r="U54" s="122">
        <f>'CT-NTM 2024'!U37</f>
        <v>0</v>
      </c>
      <c r="V54" s="122"/>
      <c r="W54" s="125"/>
    </row>
    <row r="55" spans="1:25" ht="21.75" customHeight="1" x14ac:dyDescent="0.2">
      <c r="A55" s="209">
        <v>10</v>
      </c>
      <c r="B55" s="190" t="s">
        <v>9</v>
      </c>
      <c r="C55" s="191"/>
      <c r="D55" s="192"/>
      <c r="E55" s="122">
        <f>'CT-NTM 2024'!E40</f>
        <v>1</v>
      </c>
      <c r="F55" s="122">
        <f>'CT-NTM 2024'!F40</f>
        <v>3792</v>
      </c>
      <c r="G55" s="122">
        <f>'CT-NTM 2024'!G40</f>
        <v>0</v>
      </c>
      <c r="H55" s="122">
        <f>'CT-NTM 2024'!H40</f>
        <v>0</v>
      </c>
      <c r="I55" s="122">
        <f>'CT-NTM 2024'!I40</f>
        <v>0</v>
      </c>
      <c r="J55" s="122">
        <f>'CT-NTM 2024'!J40</f>
        <v>0</v>
      </c>
      <c r="K55" s="122">
        <f>'CT-NTM 2024'!K40</f>
        <v>0</v>
      </c>
      <c r="L55" s="122">
        <f>'CT-NTM 2024'!L40</f>
        <v>0</v>
      </c>
      <c r="M55" s="122">
        <f>'CT-NTM 2024'!M40</f>
        <v>0</v>
      </c>
      <c r="N55" s="122">
        <f>'CT-NTM 2024'!N40</f>
        <v>0</v>
      </c>
      <c r="O55" s="122">
        <f>'CT-NTM 2024'!O40</f>
        <v>462</v>
      </c>
      <c r="P55" s="122">
        <f>'CT-NTM 2024'!P40</f>
        <v>262</v>
      </c>
      <c r="Q55" s="122">
        <f>'CT-NTM 2024'!Q40</f>
        <v>0</v>
      </c>
      <c r="R55" s="122">
        <f>'CT-NTM 2024'!R40</f>
        <v>0</v>
      </c>
      <c r="S55" s="122">
        <f>'CT-NTM 2024'!S40</f>
        <v>0</v>
      </c>
      <c r="T55" s="122">
        <f>'CT-NTM 2024'!T40</f>
        <v>200</v>
      </c>
      <c r="U55" s="122">
        <f>'CT-NTM 2024'!U40</f>
        <v>0</v>
      </c>
      <c r="V55" s="122"/>
      <c r="W55" s="125"/>
    </row>
    <row r="56" spans="1:25" ht="21.75" customHeight="1" x14ac:dyDescent="0.2">
      <c r="A56" s="209">
        <v>11</v>
      </c>
      <c r="B56" s="190" t="s">
        <v>8</v>
      </c>
      <c r="C56" s="191"/>
      <c r="D56" s="192"/>
      <c r="E56" s="122">
        <f>'CT-NTM 2024'!E42</f>
        <v>2</v>
      </c>
      <c r="F56" s="122">
        <f>'CT-NTM 2024'!F42</f>
        <v>13000</v>
      </c>
      <c r="G56" s="122">
        <f>'CT-NTM 2024'!G42</f>
        <v>0</v>
      </c>
      <c r="H56" s="122">
        <f>'CT-NTM 2024'!H42</f>
        <v>0</v>
      </c>
      <c r="I56" s="122">
        <f>'CT-NTM 2024'!I42</f>
        <v>0</v>
      </c>
      <c r="J56" s="122">
        <f>'CT-NTM 2024'!J42</f>
        <v>0</v>
      </c>
      <c r="K56" s="122">
        <f>'CT-NTM 2024'!K42</f>
        <v>0</v>
      </c>
      <c r="L56" s="122">
        <f>'CT-NTM 2024'!L42</f>
        <v>0</v>
      </c>
      <c r="M56" s="122">
        <f>'CT-NTM 2024'!M42</f>
        <v>0</v>
      </c>
      <c r="N56" s="122">
        <f>'CT-NTM 2024'!N42</f>
        <v>0</v>
      </c>
      <c r="O56" s="122">
        <f>'CT-NTM 2024'!O42</f>
        <v>7752</v>
      </c>
      <c r="P56" s="122">
        <f>'CT-NTM 2024'!P42</f>
        <v>3352</v>
      </c>
      <c r="Q56" s="122">
        <f>'CT-NTM 2024'!Q42</f>
        <v>0</v>
      </c>
      <c r="R56" s="122">
        <f>'CT-NTM 2024'!R42</f>
        <v>4000</v>
      </c>
      <c r="S56" s="122">
        <f>'CT-NTM 2024'!S42</f>
        <v>0</v>
      </c>
      <c r="T56" s="122">
        <f>'CT-NTM 2024'!T42</f>
        <v>400</v>
      </c>
      <c r="U56" s="122">
        <f>'CT-NTM 2024'!U42</f>
        <v>0</v>
      </c>
      <c r="V56" s="122"/>
      <c r="W56" s="125"/>
    </row>
    <row r="57" spans="1:25" ht="21.75" customHeight="1" x14ac:dyDescent="0.2">
      <c r="A57" s="209">
        <v>12</v>
      </c>
      <c r="B57" s="190" t="s">
        <v>11</v>
      </c>
      <c r="C57" s="191"/>
      <c r="D57" s="192"/>
      <c r="E57" s="122">
        <f>'CT-NTM 2024'!E45</f>
        <v>1</v>
      </c>
      <c r="F57" s="122">
        <f>'CT-NTM 2024'!F45</f>
        <v>14900</v>
      </c>
      <c r="G57" s="122">
        <f>'CT-NTM 2024'!G45</f>
        <v>0</v>
      </c>
      <c r="H57" s="122">
        <f>'CT-NTM 2024'!H45</f>
        <v>0</v>
      </c>
      <c r="I57" s="122">
        <f>'CT-NTM 2024'!I45</f>
        <v>0</v>
      </c>
      <c r="J57" s="122">
        <f>'CT-NTM 2024'!J45</f>
        <v>0</v>
      </c>
      <c r="K57" s="122">
        <f>'CT-NTM 2024'!K45</f>
        <v>0</v>
      </c>
      <c r="L57" s="122">
        <f>'CT-NTM 2024'!L45</f>
        <v>0</v>
      </c>
      <c r="M57" s="122">
        <f>'CT-NTM 2024'!M45</f>
        <v>0</v>
      </c>
      <c r="N57" s="122">
        <f>'CT-NTM 2024'!N45</f>
        <v>8900</v>
      </c>
      <c r="O57" s="122">
        <f>'CT-NTM 2024'!O45</f>
        <v>4852</v>
      </c>
      <c r="P57" s="122">
        <f>'CT-NTM 2024'!P45</f>
        <v>3352</v>
      </c>
      <c r="Q57" s="122">
        <f>'CT-NTM 2024'!Q45</f>
        <v>1300</v>
      </c>
      <c r="R57" s="122">
        <f>'CT-NTM 2024'!R45</f>
        <v>0</v>
      </c>
      <c r="S57" s="122">
        <f>'CT-NTM 2024'!S45</f>
        <v>0</v>
      </c>
      <c r="T57" s="122">
        <f>'CT-NTM 2024'!T45</f>
        <v>200</v>
      </c>
      <c r="U57" s="122">
        <f>'CT-NTM 2024'!U45</f>
        <v>0</v>
      </c>
      <c r="V57" s="122"/>
      <c r="W57" s="125"/>
    </row>
    <row r="58" spans="1:25" ht="16.5" x14ac:dyDescent="0.2">
      <c r="A58" s="209">
        <v>13</v>
      </c>
      <c r="B58" s="190" t="s">
        <v>12</v>
      </c>
      <c r="C58" s="191"/>
      <c r="D58" s="192"/>
      <c r="E58" s="122">
        <f>'CT-NTM 2024'!E47</f>
        <v>7</v>
      </c>
      <c r="F58" s="122">
        <f>'CT-NTM 2024'!F47</f>
        <v>16467</v>
      </c>
      <c r="G58" s="122">
        <f>'CT-NTM 2024'!G47</f>
        <v>0</v>
      </c>
      <c r="H58" s="122">
        <f>'CT-NTM 2024'!H47</f>
        <v>0</v>
      </c>
      <c r="I58" s="122">
        <f>'CT-NTM 2024'!I47</f>
        <v>0</v>
      </c>
      <c r="J58" s="122">
        <f>'CT-NTM 2024'!J47</f>
        <v>0</v>
      </c>
      <c r="K58" s="122">
        <f>'CT-NTM 2024'!K47</f>
        <v>0</v>
      </c>
      <c r="L58" s="122">
        <f>'CT-NTM 2024'!L47</f>
        <v>0</v>
      </c>
      <c r="M58" s="122">
        <f>'CT-NTM 2024'!M47</f>
        <v>0</v>
      </c>
      <c r="N58" s="122">
        <f>'CT-NTM 2024'!N47</f>
        <v>0</v>
      </c>
      <c r="O58" s="122">
        <f>'CT-NTM 2024'!O47</f>
        <v>14720</v>
      </c>
      <c r="P58" s="122">
        <f>'CT-NTM 2024'!P47</f>
        <v>3352</v>
      </c>
      <c r="Q58" s="122">
        <f>'CT-NTM 2024'!Q47</f>
        <v>1000</v>
      </c>
      <c r="R58" s="122">
        <f>'CT-NTM 2024'!R47</f>
        <v>0</v>
      </c>
      <c r="S58" s="122">
        <f>'CT-NTM 2024'!S47</f>
        <v>0</v>
      </c>
      <c r="T58" s="122">
        <f>'CT-NTM 2024'!T47</f>
        <v>1623</v>
      </c>
      <c r="U58" s="122">
        <f>'CT-NTM 2024'!U47</f>
        <v>8745</v>
      </c>
      <c r="V58" s="122">
        <f>'CT-NTM 2024'!V47</f>
        <v>14720</v>
      </c>
      <c r="W58" s="125">
        <f>'CT-NTM 2024'!W47</f>
        <v>0</v>
      </c>
    </row>
    <row r="59" spans="1:25" ht="16.5" x14ac:dyDescent="0.2">
      <c r="A59" s="209">
        <v>14</v>
      </c>
      <c r="B59" s="190" t="s">
        <v>1</v>
      </c>
      <c r="C59" s="191"/>
      <c r="D59" s="192"/>
      <c r="E59" s="122">
        <f>'CT-NTM 2024'!E55</f>
        <v>2</v>
      </c>
      <c r="F59" s="122">
        <f>'CT-NTM 2024'!F55</f>
        <v>5367.0320000000002</v>
      </c>
      <c r="G59" s="122">
        <f>'CT-NTM 2024'!G55</f>
        <v>0</v>
      </c>
      <c r="H59" s="122">
        <f>'CT-NTM 2024'!H55</f>
        <v>0</v>
      </c>
      <c r="I59" s="122">
        <f>'CT-NTM 2024'!I55</f>
        <v>0</v>
      </c>
      <c r="J59" s="122">
        <f>'CT-NTM 2024'!J55</f>
        <v>0</v>
      </c>
      <c r="K59" s="122">
        <f>'CT-NTM 2024'!K55</f>
        <v>0</v>
      </c>
      <c r="L59" s="122">
        <f>'CT-NTM 2024'!L55</f>
        <v>0</v>
      </c>
      <c r="M59" s="122">
        <f>'CT-NTM 2024'!M55</f>
        <v>0</v>
      </c>
      <c r="N59" s="122">
        <f>'CT-NTM 2024'!N55</f>
        <v>0</v>
      </c>
      <c r="O59" s="122">
        <f>'CT-NTM 2024'!O55</f>
        <v>1662</v>
      </c>
      <c r="P59" s="122">
        <f>'CT-NTM 2024'!P55</f>
        <v>262</v>
      </c>
      <c r="Q59" s="122">
        <f>'CT-NTM 2024'!Q55</f>
        <v>400</v>
      </c>
      <c r="R59" s="122">
        <f>'CT-NTM 2024'!R55</f>
        <v>0</v>
      </c>
      <c r="S59" s="122">
        <f>'CT-NTM 2024'!S55</f>
        <v>0</v>
      </c>
      <c r="T59" s="122">
        <f>'CT-NTM 2024'!T55</f>
        <v>1000</v>
      </c>
      <c r="U59" s="122">
        <f>'CT-NTM 2024'!U55</f>
        <v>0</v>
      </c>
      <c r="V59" s="122">
        <f>'CT-NTM 2024'!V55</f>
        <v>1662</v>
      </c>
      <c r="W59" s="122">
        <f>+'CT-NTM 2024'!W45</f>
        <v>0</v>
      </c>
    </row>
    <row r="60" spans="1:25" ht="16.5" x14ac:dyDescent="0.2">
      <c r="A60" s="209">
        <v>15</v>
      </c>
      <c r="B60" s="190" t="s">
        <v>0</v>
      </c>
      <c r="C60" s="191"/>
      <c r="D60" s="192"/>
      <c r="E60" s="122">
        <f>'CT-NTM 2024'!E58</f>
        <v>1</v>
      </c>
      <c r="F60" s="122">
        <f>'CT-NTM 2024'!F58</f>
        <v>6000</v>
      </c>
      <c r="G60" s="122">
        <f>'CT-NTM 2024'!G58</f>
        <v>0</v>
      </c>
      <c r="H60" s="122">
        <f>'CT-NTM 2024'!H58</f>
        <v>0</v>
      </c>
      <c r="I60" s="122">
        <f>'CT-NTM 2024'!I58</f>
        <v>0</v>
      </c>
      <c r="J60" s="122">
        <f>'CT-NTM 2024'!J58</f>
        <v>0</v>
      </c>
      <c r="K60" s="122">
        <f>'CT-NTM 2024'!K58</f>
        <v>0</v>
      </c>
      <c r="L60" s="122">
        <f>'CT-NTM 2024'!L58</f>
        <v>0</v>
      </c>
      <c r="M60" s="122">
        <f>'CT-NTM 2024'!M58</f>
        <v>0</v>
      </c>
      <c r="N60" s="122">
        <f>'CT-NTM 2024'!N58</f>
        <v>0</v>
      </c>
      <c r="O60" s="122">
        <f>'CT-NTM 2024'!O58</f>
        <v>4852</v>
      </c>
      <c r="P60" s="122">
        <f>'CT-NTM 2024'!P58</f>
        <v>3352</v>
      </c>
      <c r="Q60" s="122">
        <f>'CT-NTM 2024'!Q58</f>
        <v>1000</v>
      </c>
      <c r="R60" s="122">
        <f>'CT-NTM 2024'!R58</f>
        <v>0</v>
      </c>
      <c r="S60" s="122">
        <f>'CT-NTM 2024'!S58</f>
        <v>0</v>
      </c>
      <c r="T60" s="122">
        <f>'CT-NTM 2024'!T58</f>
        <v>500</v>
      </c>
      <c r="U60" s="122">
        <f>'CT-NTM 2024'!U58</f>
        <v>0</v>
      </c>
      <c r="V60" s="122">
        <f>'CT-NTM 2024'!V58</f>
        <v>4852</v>
      </c>
      <c r="W60" s="125">
        <f>'CT-NTM 2024'!W58</f>
        <v>0</v>
      </c>
    </row>
    <row r="61" spans="1:25" s="207" customFormat="1" ht="17.25" x14ac:dyDescent="0.2">
      <c r="A61" s="412"/>
      <c r="B61" s="413" t="s">
        <v>383</v>
      </c>
      <c r="C61" s="414"/>
      <c r="D61" s="415"/>
      <c r="E61" s="204">
        <f t="shared" ref="E61:V61" si="11">SUM(E62:E68)</f>
        <v>8</v>
      </c>
      <c r="F61" s="204">
        <f t="shared" si="11"/>
        <v>42774.087</v>
      </c>
      <c r="G61" s="204">
        <f t="shared" si="11"/>
        <v>0</v>
      </c>
      <c r="H61" s="204">
        <f t="shared" si="11"/>
        <v>18600</v>
      </c>
      <c r="I61" s="204">
        <f t="shared" si="11"/>
        <v>0</v>
      </c>
      <c r="J61" s="204">
        <f t="shared" si="11"/>
        <v>3200</v>
      </c>
      <c r="K61" s="204">
        <f t="shared" si="11"/>
        <v>5000</v>
      </c>
      <c r="L61" s="204">
        <f t="shared" si="11"/>
        <v>4300</v>
      </c>
      <c r="M61" s="204">
        <f t="shared" si="11"/>
        <v>6100</v>
      </c>
      <c r="N61" s="204">
        <f t="shared" si="11"/>
        <v>3600</v>
      </c>
      <c r="O61" s="204">
        <f t="shared" si="11"/>
        <v>22060</v>
      </c>
      <c r="P61" s="204">
        <f t="shared" si="11"/>
        <v>0</v>
      </c>
      <c r="Q61" s="204">
        <f t="shared" si="11"/>
        <v>5100</v>
      </c>
      <c r="R61" s="204">
        <f t="shared" si="11"/>
        <v>14560</v>
      </c>
      <c r="S61" s="204">
        <f t="shared" si="11"/>
        <v>0</v>
      </c>
      <c r="T61" s="204">
        <f t="shared" si="11"/>
        <v>2400</v>
      </c>
      <c r="U61" s="204">
        <f t="shared" si="11"/>
        <v>0</v>
      </c>
      <c r="V61" s="204">
        <f t="shared" si="11"/>
        <v>25660</v>
      </c>
      <c r="W61" s="125" t="s">
        <v>351</v>
      </c>
      <c r="X61" s="416"/>
      <c r="Y61" s="416"/>
    </row>
    <row r="62" spans="1:25" s="207" customFormat="1" ht="16.5" x14ac:dyDescent="0.2">
      <c r="A62" s="524">
        <v>1</v>
      </c>
      <c r="B62" s="417" t="s">
        <v>22</v>
      </c>
      <c r="C62" s="414"/>
      <c r="D62" s="415"/>
      <c r="E62" s="122">
        <f>+'hạ tầng NNNT'!E13</f>
        <v>1</v>
      </c>
      <c r="F62" s="122">
        <f>+'hạ tầng NNNT'!F13</f>
        <v>6860</v>
      </c>
      <c r="G62" s="122">
        <f>+'hạ tầng NNNT'!G13</f>
        <v>0</v>
      </c>
      <c r="H62" s="122">
        <f>+'hạ tầng NNNT'!H13</f>
        <v>3000</v>
      </c>
      <c r="I62" s="122">
        <f>+'hạ tầng NNNT'!I13</f>
        <v>0</v>
      </c>
      <c r="J62" s="122">
        <f>+'hạ tầng NNNT'!J13</f>
        <v>1000</v>
      </c>
      <c r="K62" s="122">
        <f>+'hạ tầng NNNT'!K13</f>
        <v>1000</v>
      </c>
      <c r="L62" s="122">
        <f>+'hạ tầng NNNT'!L13</f>
        <v>1000</v>
      </c>
      <c r="M62" s="122">
        <f>+'hạ tầng NNNT'!M13</f>
        <v>0</v>
      </c>
      <c r="N62" s="122">
        <f>+'hạ tầng NNNT'!N13</f>
        <v>0</v>
      </c>
      <c r="O62" s="122">
        <f>+'hạ tầng NNNT'!O13</f>
        <v>6360</v>
      </c>
      <c r="P62" s="122">
        <f>+'hạ tầng NNNT'!P13</f>
        <v>0</v>
      </c>
      <c r="Q62" s="122">
        <f>+'hạ tầng NNNT'!Q13</f>
        <v>2400</v>
      </c>
      <c r="R62" s="122">
        <f>+'hạ tầng NNNT'!R13</f>
        <v>3460</v>
      </c>
      <c r="S62" s="122">
        <f>+'hạ tầng NNNT'!S13</f>
        <v>0</v>
      </c>
      <c r="T62" s="122">
        <f>+'hạ tầng NNNT'!T13</f>
        <v>500</v>
      </c>
      <c r="U62" s="122">
        <f>+'hạ tầng NNNT'!U13</f>
        <v>0</v>
      </c>
      <c r="V62" s="122">
        <f>+'hạ tầng NNNT'!V13</f>
        <v>6360</v>
      </c>
      <c r="W62" s="122">
        <f>+'hạ tầng NNNT'!W13</f>
        <v>0</v>
      </c>
      <c r="X62" s="416"/>
      <c r="Y62" s="416"/>
    </row>
    <row r="63" spans="1:25" s="207" customFormat="1" ht="16.5" x14ac:dyDescent="0.2">
      <c r="A63" s="524">
        <v>2</v>
      </c>
      <c r="B63" s="417" t="s">
        <v>17</v>
      </c>
      <c r="C63" s="414"/>
      <c r="D63" s="415"/>
      <c r="E63" s="122">
        <f>+'hạ tầng NNNT'!E15</f>
        <v>1</v>
      </c>
      <c r="F63" s="122">
        <f>+'hạ tầng NNNT'!F15</f>
        <v>14465.736999999999</v>
      </c>
      <c r="G63" s="122">
        <f>+'hạ tầng NNNT'!G15</f>
        <v>0</v>
      </c>
      <c r="H63" s="122">
        <f>+'hạ tầng NNNT'!H15</f>
        <v>3100</v>
      </c>
      <c r="I63" s="122">
        <f>+'hạ tầng NNNT'!I15</f>
        <v>0</v>
      </c>
      <c r="J63" s="122">
        <f>+'hạ tầng NNNT'!J15</f>
        <v>2200</v>
      </c>
      <c r="K63" s="122">
        <f>+'hạ tầng NNNT'!K15</f>
        <v>0</v>
      </c>
      <c r="L63" s="122">
        <f>+'hạ tầng NNNT'!L15</f>
        <v>800</v>
      </c>
      <c r="M63" s="122">
        <f>+'hạ tầng NNNT'!M15</f>
        <v>100</v>
      </c>
      <c r="N63" s="122">
        <f>+'hạ tầng NNNT'!N15</f>
        <v>500</v>
      </c>
      <c r="O63" s="122">
        <f>+'hạ tầng NNNT'!O15</f>
        <v>3400</v>
      </c>
      <c r="P63" s="122">
        <f>+'hạ tầng NNNT'!P15</f>
        <v>0</v>
      </c>
      <c r="Q63" s="122">
        <f>+'hạ tầng NNNT'!Q15</f>
        <v>0</v>
      </c>
      <c r="R63" s="122">
        <f>+'hạ tầng NNNT'!R15</f>
        <v>3200</v>
      </c>
      <c r="S63" s="122">
        <f>+'hạ tầng NNNT'!S15</f>
        <v>0</v>
      </c>
      <c r="T63" s="122">
        <f>+'hạ tầng NNNT'!T15</f>
        <v>200</v>
      </c>
      <c r="U63" s="122">
        <f>+'hạ tầng NNNT'!U15</f>
        <v>0</v>
      </c>
      <c r="V63" s="122">
        <f>+'hạ tầng NNNT'!V15</f>
        <v>3900</v>
      </c>
      <c r="W63" s="122">
        <f>+'hạ tầng NNNT'!W15</f>
        <v>0</v>
      </c>
      <c r="X63" s="416"/>
      <c r="Y63" s="416"/>
    </row>
    <row r="64" spans="1:25" s="207" customFormat="1" ht="16.5" x14ac:dyDescent="0.2">
      <c r="A64" s="524">
        <v>3</v>
      </c>
      <c r="B64" s="417" t="s">
        <v>9</v>
      </c>
      <c r="C64" s="414"/>
      <c r="D64" s="415"/>
      <c r="E64" s="122">
        <f>'hạ tầng NNNT'!E17</f>
        <v>1</v>
      </c>
      <c r="F64" s="122">
        <f>'hạ tầng NNNT'!F17</f>
        <v>3463</v>
      </c>
      <c r="G64" s="122">
        <f>'hạ tầng NNNT'!G17</f>
        <v>0</v>
      </c>
      <c r="H64" s="122">
        <f>'hạ tầng NNNT'!H17</f>
        <v>4500</v>
      </c>
      <c r="I64" s="122">
        <f>'hạ tầng NNNT'!I17</f>
        <v>0</v>
      </c>
      <c r="J64" s="122">
        <f>'hạ tầng NNNT'!J17</f>
        <v>0</v>
      </c>
      <c r="K64" s="122">
        <f>'hạ tầng NNNT'!K17</f>
        <v>0</v>
      </c>
      <c r="L64" s="122">
        <f>'hạ tầng NNNT'!L17</f>
        <v>500</v>
      </c>
      <c r="M64" s="122">
        <f>'hạ tầng NNNT'!M17</f>
        <v>4000</v>
      </c>
      <c r="N64" s="122">
        <f>'hạ tầng NNNT'!N17</f>
        <v>2100</v>
      </c>
      <c r="O64" s="122">
        <f>'hạ tầng NNNT'!O17</f>
        <v>1200</v>
      </c>
      <c r="P64" s="122">
        <f>'hạ tầng NNNT'!P17</f>
        <v>0</v>
      </c>
      <c r="Q64" s="122">
        <f>'hạ tầng NNNT'!Q17</f>
        <v>0</v>
      </c>
      <c r="R64" s="122">
        <f>'hạ tầng NNNT'!R17</f>
        <v>1100</v>
      </c>
      <c r="S64" s="122">
        <f>'hạ tầng NNNT'!S17</f>
        <v>0</v>
      </c>
      <c r="T64" s="122">
        <f>'hạ tầng NNNT'!T17</f>
        <v>100</v>
      </c>
      <c r="U64" s="122">
        <f>'hạ tầng NNNT'!U17</f>
        <v>0</v>
      </c>
      <c r="V64" s="122">
        <f>'hạ tầng NNNT'!V17</f>
        <v>3300</v>
      </c>
      <c r="W64" s="122">
        <f>'hạ tầng NNNT'!W17</f>
        <v>0</v>
      </c>
      <c r="X64" s="416"/>
      <c r="Y64" s="416"/>
    </row>
    <row r="65" spans="1:25" s="207" customFormat="1" ht="16.5" x14ac:dyDescent="0.2">
      <c r="A65" s="524">
        <v>4</v>
      </c>
      <c r="B65" s="417" t="s">
        <v>0</v>
      </c>
      <c r="C65" s="414"/>
      <c r="D65" s="415"/>
      <c r="E65" s="122">
        <f>'hạ tầng NNNT'!E19</f>
        <v>1</v>
      </c>
      <c r="F65" s="122">
        <f>'hạ tầng NNNT'!F19</f>
        <v>5695</v>
      </c>
      <c r="G65" s="122">
        <f>'hạ tầng NNNT'!G19</f>
        <v>0</v>
      </c>
      <c r="H65" s="122">
        <f>'hạ tầng NNNT'!H19</f>
        <v>8000</v>
      </c>
      <c r="I65" s="122">
        <f>'hạ tầng NNNT'!I19</f>
        <v>0</v>
      </c>
      <c r="J65" s="122">
        <f>'hạ tầng NNNT'!J19</f>
        <v>0</v>
      </c>
      <c r="K65" s="122">
        <f>'hạ tầng NNNT'!K19</f>
        <v>4000</v>
      </c>
      <c r="L65" s="122">
        <f>'hạ tầng NNNT'!L19</f>
        <v>2000</v>
      </c>
      <c r="M65" s="122">
        <f>'hạ tầng NNNT'!M19</f>
        <v>2000</v>
      </c>
      <c r="N65" s="122">
        <f>'hạ tầng NNNT'!N19</f>
        <v>1000</v>
      </c>
      <c r="O65" s="122">
        <f>'hạ tầng NNNT'!O19</f>
        <v>3300</v>
      </c>
      <c r="P65" s="122">
        <f>'hạ tầng NNNT'!P19</f>
        <v>0</v>
      </c>
      <c r="Q65" s="122">
        <f>'hạ tầng NNNT'!Q19</f>
        <v>0</v>
      </c>
      <c r="R65" s="122">
        <f>'hạ tầng NNNT'!R19</f>
        <v>2400</v>
      </c>
      <c r="S65" s="122">
        <f>'hạ tầng NNNT'!S19</f>
        <v>0</v>
      </c>
      <c r="T65" s="122">
        <f>'hạ tầng NNNT'!T19</f>
        <v>900</v>
      </c>
      <c r="U65" s="122">
        <f>'hạ tầng NNNT'!U19</f>
        <v>0</v>
      </c>
      <c r="V65" s="122">
        <f>'hạ tầng NNNT'!V19</f>
        <v>4300</v>
      </c>
      <c r="W65" s="122">
        <f>'hạ tầng NNNT'!W19</f>
        <v>0</v>
      </c>
      <c r="X65" s="416"/>
      <c r="Y65" s="416"/>
    </row>
    <row r="66" spans="1:25" s="207" customFormat="1" ht="16.5" x14ac:dyDescent="0.2">
      <c r="A66" s="524">
        <v>5</v>
      </c>
      <c r="B66" s="417" t="s">
        <v>5</v>
      </c>
      <c r="C66" s="414"/>
      <c r="D66" s="415"/>
      <c r="E66" s="122">
        <f>'hạ tầng NNNT'!E22</f>
        <v>1</v>
      </c>
      <c r="F66" s="122">
        <f>'hạ tầng NNNT'!F22</f>
        <v>4690.3500000000004</v>
      </c>
      <c r="G66" s="122">
        <f>'hạ tầng NNNT'!G22</f>
        <v>0</v>
      </c>
      <c r="H66" s="122">
        <f>'hạ tầng NNNT'!H22</f>
        <v>0</v>
      </c>
      <c r="I66" s="122">
        <f>'hạ tầng NNNT'!I22</f>
        <v>0</v>
      </c>
      <c r="J66" s="122">
        <f>'hạ tầng NNNT'!J22</f>
        <v>0</v>
      </c>
      <c r="K66" s="122">
        <f>'hạ tầng NNNT'!K22</f>
        <v>0</v>
      </c>
      <c r="L66" s="122">
        <f>'hạ tầng NNNT'!L22</f>
        <v>0</v>
      </c>
      <c r="M66" s="122">
        <f>'hạ tầng NNNT'!M22</f>
        <v>0</v>
      </c>
      <c r="N66" s="122">
        <f>'hạ tầng NNNT'!N22</f>
        <v>0</v>
      </c>
      <c r="O66" s="122">
        <f>'hạ tầng NNNT'!O22</f>
        <v>3500</v>
      </c>
      <c r="P66" s="122">
        <f>'hạ tầng NNNT'!P22</f>
        <v>0</v>
      </c>
      <c r="Q66" s="122">
        <f>'hạ tầng NNNT'!Q22</f>
        <v>1600</v>
      </c>
      <c r="R66" s="122">
        <f>'hạ tầng NNNT'!R22</f>
        <v>1600</v>
      </c>
      <c r="S66" s="122">
        <f>'hạ tầng NNNT'!S22</f>
        <v>0</v>
      </c>
      <c r="T66" s="122">
        <f>'hạ tầng NNNT'!T22</f>
        <v>300</v>
      </c>
      <c r="U66" s="122">
        <f>'hạ tầng NNNT'!U22</f>
        <v>0</v>
      </c>
      <c r="V66" s="122">
        <f>'hạ tầng NNNT'!V22</f>
        <v>3500</v>
      </c>
      <c r="W66" s="122">
        <f>'hạ tầng NNNT'!W22</f>
        <v>0</v>
      </c>
      <c r="X66" s="416"/>
      <c r="Y66" s="416"/>
    </row>
    <row r="67" spans="1:25" s="207" customFormat="1" ht="16.5" x14ac:dyDescent="0.2">
      <c r="A67" s="524">
        <v>6</v>
      </c>
      <c r="B67" s="417" t="s">
        <v>12</v>
      </c>
      <c r="C67" s="414"/>
      <c r="D67" s="415"/>
      <c r="E67" s="122">
        <f>'hạ tầng NNNT'!E24</f>
        <v>1</v>
      </c>
      <c r="F67" s="122">
        <f>'hạ tầng NNNT'!F24</f>
        <v>2000</v>
      </c>
      <c r="G67" s="122">
        <f>'hạ tầng NNNT'!G24</f>
        <v>0</v>
      </c>
      <c r="H67" s="122">
        <f>'hạ tầng NNNT'!H24</f>
        <v>0</v>
      </c>
      <c r="I67" s="122">
        <f>'hạ tầng NNNT'!I24</f>
        <v>0</v>
      </c>
      <c r="J67" s="122">
        <f>'hạ tầng NNNT'!J24</f>
        <v>0</v>
      </c>
      <c r="K67" s="122">
        <f>'hạ tầng NNNT'!K24</f>
        <v>0</v>
      </c>
      <c r="L67" s="122">
        <f>'hạ tầng NNNT'!L24</f>
        <v>0</v>
      </c>
      <c r="M67" s="122">
        <f>'hạ tầng NNNT'!M24</f>
        <v>0</v>
      </c>
      <c r="N67" s="122">
        <f>'hạ tầng NNNT'!N24</f>
        <v>0</v>
      </c>
      <c r="O67" s="122">
        <f>'hạ tầng NNNT'!O24</f>
        <v>1700</v>
      </c>
      <c r="P67" s="122">
        <f>'hạ tầng NNNT'!P24</f>
        <v>0</v>
      </c>
      <c r="Q67" s="122">
        <f>'hạ tầng NNNT'!Q24</f>
        <v>1100</v>
      </c>
      <c r="R67" s="122">
        <f>'hạ tầng NNNT'!R24</f>
        <v>400</v>
      </c>
      <c r="S67" s="122">
        <f>'hạ tầng NNNT'!S24</f>
        <v>0</v>
      </c>
      <c r="T67" s="122">
        <f>'hạ tầng NNNT'!T24</f>
        <v>200</v>
      </c>
      <c r="U67" s="122">
        <f>'hạ tầng NNNT'!U24</f>
        <v>0</v>
      </c>
      <c r="V67" s="122">
        <f>'hạ tầng NNNT'!V24</f>
        <v>1700</v>
      </c>
      <c r="W67" s="122">
        <f>'hạ tầng NNNT'!W24</f>
        <v>0</v>
      </c>
      <c r="X67" s="416"/>
      <c r="Y67" s="416"/>
    </row>
    <row r="68" spans="1:25" s="207" customFormat="1" ht="16.5" x14ac:dyDescent="0.2">
      <c r="A68" s="524">
        <v>7</v>
      </c>
      <c r="B68" s="417" t="s">
        <v>11</v>
      </c>
      <c r="C68" s="414"/>
      <c r="D68" s="415"/>
      <c r="E68" s="122">
        <f>'hạ tầng NNNT'!E26</f>
        <v>2</v>
      </c>
      <c r="F68" s="122">
        <f>'hạ tầng NNNT'!F26</f>
        <v>5600</v>
      </c>
      <c r="G68" s="122">
        <f>'hạ tầng NNNT'!G26</f>
        <v>0</v>
      </c>
      <c r="H68" s="122">
        <f>'hạ tầng NNNT'!H26</f>
        <v>0</v>
      </c>
      <c r="I68" s="122">
        <f>'hạ tầng NNNT'!I26</f>
        <v>0</v>
      </c>
      <c r="J68" s="122">
        <f>'hạ tầng NNNT'!J26</f>
        <v>0</v>
      </c>
      <c r="K68" s="122">
        <f>'hạ tầng NNNT'!K26</f>
        <v>0</v>
      </c>
      <c r="L68" s="122">
        <f>'hạ tầng NNNT'!L26</f>
        <v>0</v>
      </c>
      <c r="M68" s="122">
        <f>'hạ tầng NNNT'!M26</f>
        <v>0</v>
      </c>
      <c r="N68" s="122">
        <f>'hạ tầng NNNT'!N26</f>
        <v>0</v>
      </c>
      <c r="O68" s="122">
        <f>'hạ tầng NNNT'!O26</f>
        <v>2600</v>
      </c>
      <c r="P68" s="122">
        <f>'hạ tầng NNNT'!P26</f>
        <v>0</v>
      </c>
      <c r="Q68" s="122">
        <f>'hạ tầng NNNT'!Q26</f>
        <v>0</v>
      </c>
      <c r="R68" s="122">
        <f>'hạ tầng NNNT'!R26</f>
        <v>2400</v>
      </c>
      <c r="S68" s="122">
        <f>'hạ tầng NNNT'!S26</f>
        <v>0</v>
      </c>
      <c r="T68" s="122">
        <f>'hạ tầng NNNT'!T26</f>
        <v>200</v>
      </c>
      <c r="U68" s="122">
        <f>'hạ tầng NNNT'!U26</f>
        <v>0</v>
      </c>
      <c r="V68" s="122">
        <f>'hạ tầng NNNT'!V26</f>
        <v>2600</v>
      </c>
      <c r="W68" s="122">
        <f>'hạ tầng NNNT'!W26</f>
        <v>0</v>
      </c>
      <c r="X68" s="416"/>
      <c r="Y68" s="416"/>
    </row>
    <row r="69" spans="1:25" s="435" customFormat="1" ht="29.25" customHeight="1" x14ac:dyDescent="0.2">
      <c r="A69" s="436" t="s">
        <v>75</v>
      </c>
      <c r="B69" s="440" t="s">
        <v>630</v>
      </c>
      <c r="C69" s="441"/>
      <c r="D69" s="442"/>
      <c r="E69" s="431"/>
      <c r="F69" s="431"/>
      <c r="G69" s="431"/>
      <c r="H69" s="431"/>
      <c r="I69" s="431"/>
      <c r="J69" s="431"/>
      <c r="K69" s="431"/>
      <c r="L69" s="431"/>
      <c r="M69" s="431"/>
      <c r="N69" s="431"/>
      <c r="O69" s="431">
        <f>SUM(P69:U69)</f>
        <v>70000</v>
      </c>
      <c r="P69" s="431"/>
      <c r="Q69" s="431"/>
      <c r="R69" s="431">
        <f>'KHV QHXD'!E6+'KHV đo đạc cấp GCN'!E6</f>
        <v>70000</v>
      </c>
      <c r="S69" s="431"/>
      <c r="T69" s="431"/>
      <c r="U69" s="431"/>
      <c r="V69" s="431">
        <f>N69+O69</f>
        <v>70000</v>
      </c>
      <c r="W69" s="432" t="s">
        <v>390</v>
      </c>
      <c r="X69" s="443"/>
      <c r="Y69" s="443"/>
    </row>
    <row r="70" spans="1:25" x14ac:dyDescent="0.2">
      <c r="R70" s="19"/>
    </row>
    <row r="71" spans="1:25" x14ac:dyDescent="0.2">
      <c r="R71" s="19"/>
    </row>
    <row r="72" spans="1:25" x14ac:dyDescent="0.2">
      <c r="R72" s="19"/>
    </row>
    <row r="80" spans="1:25" x14ac:dyDescent="0.2">
      <c r="S80" s="496"/>
    </row>
  </sheetData>
  <mergeCells count="33">
    <mergeCell ref="U4:W4"/>
    <mergeCell ref="Q8:Q9"/>
    <mergeCell ref="S8:S9"/>
    <mergeCell ref="H1:W1"/>
    <mergeCell ref="A2:W2"/>
    <mergeCell ref="A3:W3"/>
    <mergeCell ref="A4:F4"/>
    <mergeCell ref="A5:A9"/>
    <mergeCell ref="B5:B9"/>
    <mergeCell ref="C5:C9"/>
    <mergeCell ref="D5:D9"/>
    <mergeCell ref="E5:E9"/>
    <mergeCell ref="F5:F9"/>
    <mergeCell ref="T8:T9"/>
    <mergeCell ref="U8:U9"/>
    <mergeCell ref="I7:M7"/>
    <mergeCell ref="H7:H9"/>
    <mergeCell ref="Y5:Y9"/>
    <mergeCell ref="H5:M6"/>
    <mergeCell ref="V5:V9"/>
    <mergeCell ref="W5:W9"/>
    <mergeCell ref="O7:O9"/>
    <mergeCell ref="P7:U7"/>
    <mergeCell ref="I8:I9"/>
    <mergeCell ref="J8:J9"/>
    <mergeCell ref="K8:K9"/>
    <mergeCell ref="L8:L9"/>
    <mergeCell ref="N5:N9"/>
    <mergeCell ref="O5:U6"/>
    <mergeCell ref="R8:R9"/>
    <mergeCell ref="X5:X9"/>
    <mergeCell ref="M8:M9"/>
    <mergeCell ref="P8:P9"/>
  </mergeCells>
  <pageMargins left="0.47244094488188981" right="0.31496062992125984" top="0.41" bottom="0.67" header="0.4" footer="0.31496062992125984"/>
  <pageSetup paperSize="9" scale="85" fitToHeight="0" orientation="landscape" r:id="rId1"/>
  <headerFooter>
    <oddFooter>&amp;A&amp;RPage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2"/>
  <sheetViews>
    <sheetView workbookViewId="0">
      <pane ySplit="9" topLeftCell="A10" activePane="bottomLeft" state="frozen"/>
      <selection pane="bottomLeft" activeCell="N13" sqref="N13"/>
    </sheetView>
  </sheetViews>
  <sheetFormatPr defaultRowHeight="12.75" x14ac:dyDescent="0.2"/>
  <cols>
    <col min="1" max="1" width="5.140625" style="402" customWidth="1"/>
    <col min="2" max="2" width="27.140625" style="402" customWidth="1"/>
    <col min="3" max="3" width="19.42578125" style="402" customWidth="1"/>
    <col min="4" max="4" width="14.28515625" style="402" customWidth="1"/>
    <col min="5" max="5" width="5.85546875" style="114" customWidth="1"/>
    <col min="6" max="6" width="5.140625" style="402" customWidth="1"/>
    <col min="7" max="7" width="12.5703125" style="402" customWidth="1"/>
    <col min="8" max="8" width="10" style="556" customWidth="1"/>
    <col min="9" max="11" width="10" style="566" hidden="1" customWidth="1"/>
    <col min="12" max="19" width="10" style="556" customWidth="1"/>
    <col min="20" max="20" width="12" style="114" customWidth="1"/>
    <col min="21" max="23" width="12.5703125" style="114" customWidth="1"/>
    <col min="24" max="24" width="20.140625" style="402" customWidth="1"/>
    <col min="25" max="25" width="10.42578125" style="402" bestFit="1" customWidth="1"/>
    <col min="26" max="26" width="14.140625" style="402" customWidth="1"/>
    <col min="27" max="250" width="9.140625" style="402"/>
    <col min="251" max="251" width="5.140625" style="402" customWidth="1"/>
    <col min="252" max="252" width="27.140625" style="402" customWidth="1"/>
    <col min="253" max="253" width="0" style="402" hidden="1" customWidth="1"/>
    <col min="254" max="254" width="5.85546875" style="402" customWidth="1"/>
    <col min="255" max="255" width="4.28515625" style="402" customWidth="1"/>
    <col min="256" max="256" width="12.5703125" style="402" customWidth="1"/>
    <col min="257" max="260" width="0" style="402" hidden="1" customWidth="1"/>
    <col min="261" max="261" width="10.140625" style="402" customWidth="1"/>
    <col min="262" max="262" width="11.7109375" style="402" customWidth="1"/>
    <col min="263" max="263" width="0" style="402" hidden="1" customWidth="1"/>
    <col min="264" max="264" width="8.5703125" style="402" customWidth="1"/>
    <col min="265" max="265" width="7.85546875" style="402" customWidth="1"/>
    <col min="266" max="266" width="9.5703125" style="402" customWidth="1"/>
    <col min="267" max="267" width="0" style="402" hidden="1" customWidth="1"/>
    <col min="268" max="268" width="8.140625" style="402" customWidth="1"/>
    <col min="269" max="269" width="9.5703125" style="402" customWidth="1"/>
    <col min="270" max="270" width="10.85546875" style="402" customWidth="1"/>
    <col min="271" max="277" width="10" style="402" customWidth="1"/>
    <col min="278" max="278" width="12" style="402" customWidth="1"/>
    <col min="279" max="279" width="12.5703125" style="402" customWidth="1"/>
    <col min="280" max="280" width="20.140625" style="402" customWidth="1"/>
    <col min="281" max="281" width="10.42578125" style="402" bestFit="1" customWidth="1"/>
    <col min="282" max="282" width="14.140625" style="402" customWidth="1"/>
    <col min="283" max="506" width="9.140625" style="402"/>
    <col min="507" max="507" width="5.140625" style="402" customWidth="1"/>
    <col min="508" max="508" width="27.140625" style="402" customWidth="1"/>
    <col min="509" max="509" width="0" style="402" hidden="1" customWidth="1"/>
    <col min="510" max="510" width="5.85546875" style="402" customWidth="1"/>
    <col min="511" max="511" width="4.28515625" style="402" customWidth="1"/>
    <col min="512" max="512" width="12.5703125" style="402" customWidth="1"/>
    <col min="513" max="516" width="0" style="402" hidden="1" customWidth="1"/>
    <col min="517" max="517" width="10.140625" style="402" customWidth="1"/>
    <col min="518" max="518" width="11.7109375" style="402" customWidth="1"/>
    <col min="519" max="519" width="0" style="402" hidden="1" customWidth="1"/>
    <col min="520" max="520" width="8.5703125" style="402" customWidth="1"/>
    <col min="521" max="521" width="7.85546875" style="402" customWidth="1"/>
    <col min="522" max="522" width="9.5703125" style="402" customWidth="1"/>
    <col min="523" max="523" width="0" style="402" hidden="1" customWidth="1"/>
    <col min="524" max="524" width="8.140625" style="402" customWidth="1"/>
    <col min="525" max="525" width="9.5703125" style="402" customWidth="1"/>
    <col min="526" max="526" width="10.85546875" style="402" customWidth="1"/>
    <col min="527" max="533" width="10" style="402" customWidth="1"/>
    <col min="534" max="534" width="12" style="402" customWidth="1"/>
    <col min="535" max="535" width="12.5703125" style="402" customWidth="1"/>
    <col min="536" max="536" width="20.140625" style="402" customWidth="1"/>
    <col min="537" max="537" width="10.42578125" style="402" bestFit="1" customWidth="1"/>
    <col min="538" max="538" width="14.140625" style="402" customWidth="1"/>
    <col min="539" max="762" width="9.140625" style="402"/>
    <col min="763" max="763" width="5.140625" style="402" customWidth="1"/>
    <col min="764" max="764" width="27.140625" style="402" customWidth="1"/>
    <col min="765" max="765" width="0" style="402" hidden="1" customWidth="1"/>
    <col min="766" max="766" width="5.85546875" style="402" customWidth="1"/>
    <col min="767" max="767" width="4.28515625" style="402" customWidth="1"/>
    <col min="768" max="768" width="12.5703125" style="402" customWidth="1"/>
    <col min="769" max="772" width="0" style="402" hidden="1" customWidth="1"/>
    <col min="773" max="773" width="10.140625" style="402" customWidth="1"/>
    <col min="774" max="774" width="11.7109375" style="402" customWidth="1"/>
    <col min="775" max="775" width="0" style="402" hidden="1" customWidth="1"/>
    <col min="776" max="776" width="8.5703125" style="402" customWidth="1"/>
    <col min="777" max="777" width="7.85546875" style="402" customWidth="1"/>
    <col min="778" max="778" width="9.5703125" style="402" customWidth="1"/>
    <col min="779" max="779" width="0" style="402" hidden="1" customWidth="1"/>
    <col min="780" max="780" width="8.140625" style="402" customWidth="1"/>
    <col min="781" max="781" width="9.5703125" style="402" customWidth="1"/>
    <col min="782" max="782" width="10.85546875" style="402" customWidth="1"/>
    <col min="783" max="789" width="10" style="402" customWidth="1"/>
    <col min="790" max="790" width="12" style="402" customWidth="1"/>
    <col min="791" max="791" width="12.5703125" style="402" customWidth="1"/>
    <col min="792" max="792" width="20.140625" style="402" customWidth="1"/>
    <col min="793" max="793" width="10.42578125" style="402" bestFit="1" customWidth="1"/>
    <col min="794" max="794" width="14.140625" style="402" customWidth="1"/>
    <col min="795" max="1018" width="9.140625" style="402"/>
    <col min="1019" max="1019" width="5.140625" style="402" customWidth="1"/>
    <col min="1020" max="1020" width="27.140625" style="402" customWidth="1"/>
    <col min="1021" max="1021" width="0" style="402" hidden="1" customWidth="1"/>
    <col min="1022" max="1022" width="5.85546875" style="402" customWidth="1"/>
    <col min="1023" max="1023" width="4.28515625" style="402" customWidth="1"/>
    <col min="1024" max="1024" width="12.5703125" style="402" customWidth="1"/>
    <col min="1025" max="1028" width="0" style="402" hidden="1" customWidth="1"/>
    <col min="1029" max="1029" width="10.140625" style="402" customWidth="1"/>
    <col min="1030" max="1030" width="11.7109375" style="402" customWidth="1"/>
    <col min="1031" max="1031" width="0" style="402" hidden="1" customWidth="1"/>
    <col min="1032" max="1032" width="8.5703125" style="402" customWidth="1"/>
    <col min="1033" max="1033" width="7.85546875" style="402" customWidth="1"/>
    <col min="1034" max="1034" width="9.5703125" style="402" customWidth="1"/>
    <col min="1035" max="1035" width="0" style="402" hidden="1" customWidth="1"/>
    <col min="1036" max="1036" width="8.140625" style="402" customWidth="1"/>
    <col min="1037" max="1037" width="9.5703125" style="402" customWidth="1"/>
    <col min="1038" max="1038" width="10.85546875" style="402" customWidth="1"/>
    <col min="1039" max="1045" width="10" style="402" customWidth="1"/>
    <col min="1046" max="1046" width="12" style="402" customWidth="1"/>
    <col min="1047" max="1047" width="12.5703125" style="402" customWidth="1"/>
    <col min="1048" max="1048" width="20.140625" style="402" customWidth="1"/>
    <col min="1049" max="1049" width="10.42578125" style="402" bestFit="1" customWidth="1"/>
    <col min="1050" max="1050" width="14.140625" style="402" customWidth="1"/>
    <col min="1051" max="1274" width="9.140625" style="402"/>
    <col min="1275" max="1275" width="5.140625" style="402" customWidth="1"/>
    <col min="1276" max="1276" width="27.140625" style="402" customWidth="1"/>
    <col min="1277" max="1277" width="0" style="402" hidden="1" customWidth="1"/>
    <col min="1278" max="1278" width="5.85546875" style="402" customWidth="1"/>
    <col min="1279" max="1279" width="4.28515625" style="402" customWidth="1"/>
    <col min="1280" max="1280" width="12.5703125" style="402" customWidth="1"/>
    <col min="1281" max="1284" width="0" style="402" hidden="1" customWidth="1"/>
    <col min="1285" max="1285" width="10.140625" style="402" customWidth="1"/>
    <col min="1286" max="1286" width="11.7109375" style="402" customWidth="1"/>
    <col min="1287" max="1287" width="0" style="402" hidden="1" customWidth="1"/>
    <col min="1288" max="1288" width="8.5703125" style="402" customWidth="1"/>
    <col min="1289" max="1289" width="7.85546875" style="402" customWidth="1"/>
    <col min="1290" max="1290" width="9.5703125" style="402" customWidth="1"/>
    <col min="1291" max="1291" width="0" style="402" hidden="1" customWidth="1"/>
    <col min="1292" max="1292" width="8.140625" style="402" customWidth="1"/>
    <col min="1293" max="1293" width="9.5703125" style="402" customWidth="1"/>
    <col min="1294" max="1294" width="10.85546875" style="402" customWidth="1"/>
    <col min="1295" max="1301" width="10" style="402" customWidth="1"/>
    <col min="1302" max="1302" width="12" style="402" customWidth="1"/>
    <col min="1303" max="1303" width="12.5703125" style="402" customWidth="1"/>
    <col min="1304" max="1304" width="20.140625" style="402" customWidth="1"/>
    <col min="1305" max="1305" width="10.42578125" style="402" bestFit="1" customWidth="1"/>
    <col min="1306" max="1306" width="14.140625" style="402" customWidth="1"/>
    <col min="1307" max="1530" width="9.140625" style="402"/>
    <col min="1531" max="1531" width="5.140625" style="402" customWidth="1"/>
    <col min="1532" max="1532" width="27.140625" style="402" customWidth="1"/>
    <col min="1533" max="1533" width="0" style="402" hidden="1" customWidth="1"/>
    <col min="1534" max="1534" width="5.85546875" style="402" customWidth="1"/>
    <col min="1535" max="1535" width="4.28515625" style="402" customWidth="1"/>
    <col min="1536" max="1536" width="12.5703125" style="402" customWidth="1"/>
    <col min="1537" max="1540" width="0" style="402" hidden="1" customWidth="1"/>
    <col min="1541" max="1541" width="10.140625" style="402" customWidth="1"/>
    <col min="1542" max="1542" width="11.7109375" style="402" customWidth="1"/>
    <col min="1543" max="1543" width="0" style="402" hidden="1" customWidth="1"/>
    <col min="1544" max="1544" width="8.5703125" style="402" customWidth="1"/>
    <col min="1545" max="1545" width="7.85546875" style="402" customWidth="1"/>
    <col min="1546" max="1546" width="9.5703125" style="402" customWidth="1"/>
    <col min="1547" max="1547" width="0" style="402" hidden="1" customWidth="1"/>
    <col min="1548" max="1548" width="8.140625" style="402" customWidth="1"/>
    <col min="1549" max="1549" width="9.5703125" style="402" customWidth="1"/>
    <col min="1550" max="1550" width="10.85546875" style="402" customWidth="1"/>
    <col min="1551" max="1557" width="10" style="402" customWidth="1"/>
    <col min="1558" max="1558" width="12" style="402" customWidth="1"/>
    <col min="1559" max="1559" width="12.5703125" style="402" customWidth="1"/>
    <col min="1560" max="1560" width="20.140625" style="402" customWidth="1"/>
    <col min="1561" max="1561" width="10.42578125" style="402" bestFit="1" customWidth="1"/>
    <col min="1562" max="1562" width="14.140625" style="402" customWidth="1"/>
    <col min="1563" max="1786" width="9.140625" style="402"/>
    <col min="1787" max="1787" width="5.140625" style="402" customWidth="1"/>
    <col min="1788" max="1788" width="27.140625" style="402" customWidth="1"/>
    <col min="1789" max="1789" width="0" style="402" hidden="1" customWidth="1"/>
    <col min="1790" max="1790" width="5.85546875" style="402" customWidth="1"/>
    <col min="1791" max="1791" width="4.28515625" style="402" customWidth="1"/>
    <col min="1792" max="1792" width="12.5703125" style="402" customWidth="1"/>
    <col min="1793" max="1796" width="0" style="402" hidden="1" customWidth="1"/>
    <col min="1797" max="1797" width="10.140625" style="402" customWidth="1"/>
    <col min="1798" max="1798" width="11.7109375" style="402" customWidth="1"/>
    <col min="1799" max="1799" width="0" style="402" hidden="1" customWidth="1"/>
    <col min="1800" max="1800" width="8.5703125" style="402" customWidth="1"/>
    <col min="1801" max="1801" width="7.85546875" style="402" customWidth="1"/>
    <col min="1802" max="1802" width="9.5703125" style="402" customWidth="1"/>
    <col min="1803" max="1803" width="0" style="402" hidden="1" customWidth="1"/>
    <col min="1804" max="1804" width="8.140625" style="402" customWidth="1"/>
    <col min="1805" max="1805" width="9.5703125" style="402" customWidth="1"/>
    <col min="1806" max="1806" width="10.85546875" style="402" customWidth="1"/>
    <col min="1807" max="1813" width="10" style="402" customWidth="1"/>
    <col min="1814" max="1814" width="12" style="402" customWidth="1"/>
    <col min="1815" max="1815" width="12.5703125" style="402" customWidth="1"/>
    <col min="1816" max="1816" width="20.140625" style="402" customWidth="1"/>
    <col min="1817" max="1817" width="10.42578125" style="402" bestFit="1" customWidth="1"/>
    <col min="1818" max="1818" width="14.140625" style="402" customWidth="1"/>
    <col min="1819" max="2042" width="9.140625" style="402"/>
    <col min="2043" max="2043" width="5.140625" style="402" customWidth="1"/>
    <col min="2044" max="2044" width="27.140625" style="402" customWidth="1"/>
    <col min="2045" max="2045" width="0" style="402" hidden="1" customWidth="1"/>
    <col min="2046" max="2046" width="5.85546875" style="402" customWidth="1"/>
    <col min="2047" max="2047" width="4.28515625" style="402" customWidth="1"/>
    <col min="2048" max="2048" width="12.5703125" style="402" customWidth="1"/>
    <col min="2049" max="2052" width="0" style="402" hidden="1" customWidth="1"/>
    <col min="2053" max="2053" width="10.140625" style="402" customWidth="1"/>
    <col min="2054" max="2054" width="11.7109375" style="402" customWidth="1"/>
    <col min="2055" max="2055" width="0" style="402" hidden="1" customWidth="1"/>
    <col min="2056" max="2056" width="8.5703125" style="402" customWidth="1"/>
    <col min="2057" max="2057" width="7.85546875" style="402" customWidth="1"/>
    <col min="2058" max="2058" width="9.5703125" style="402" customWidth="1"/>
    <col min="2059" max="2059" width="0" style="402" hidden="1" customWidth="1"/>
    <col min="2060" max="2060" width="8.140625" style="402" customWidth="1"/>
    <col min="2061" max="2061" width="9.5703125" style="402" customWidth="1"/>
    <col min="2062" max="2062" width="10.85546875" style="402" customWidth="1"/>
    <col min="2063" max="2069" width="10" style="402" customWidth="1"/>
    <col min="2070" max="2070" width="12" style="402" customWidth="1"/>
    <col min="2071" max="2071" width="12.5703125" style="402" customWidth="1"/>
    <col min="2072" max="2072" width="20.140625" style="402" customWidth="1"/>
    <col min="2073" max="2073" width="10.42578125" style="402" bestFit="1" customWidth="1"/>
    <col min="2074" max="2074" width="14.140625" style="402" customWidth="1"/>
    <col min="2075" max="2298" width="9.140625" style="402"/>
    <col min="2299" max="2299" width="5.140625" style="402" customWidth="1"/>
    <col min="2300" max="2300" width="27.140625" style="402" customWidth="1"/>
    <col min="2301" max="2301" width="0" style="402" hidden="1" customWidth="1"/>
    <col min="2302" max="2302" width="5.85546875" style="402" customWidth="1"/>
    <col min="2303" max="2303" width="4.28515625" style="402" customWidth="1"/>
    <col min="2304" max="2304" width="12.5703125" style="402" customWidth="1"/>
    <col min="2305" max="2308" width="0" style="402" hidden="1" customWidth="1"/>
    <col min="2309" max="2309" width="10.140625" style="402" customWidth="1"/>
    <col min="2310" max="2310" width="11.7109375" style="402" customWidth="1"/>
    <col min="2311" max="2311" width="0" style="402" hidden="1" customWidth="1"/>
    <col min="2312" max="2312" width="8.5703125" style="402" customWidth="1"/>
    <col min="2313" max="2313" width="7.85546875" style="402" customWidth="1"/>
    <col min="2314" max="2314" width="9.5703125" style="402" customWidth="1"/>
    <col min="2315" max="2315" width="0" style="402" hidden="1" customWidth="1"/>
    <col min="2316" max="2316" width="8.140625" style="402" customWidth="1"/>
    <col min="2317" max="2317" width="9.5703125" style="402" customWidth="1"/>
    <col min="2318" max="2318" width="10.85546875" style="402" customWidth="1"/>
    <col min="2319" max="2325" width="10" style="402" customWidth="1"/>
    <col min="2326" max="2326" width="12" style="402" customWidth="1"/>
    <col min="2327" max="2327" width="12.5703125" style="402" customWidth="1"/>
    <col min="2328" max="2328" width="20.140625" style="402" customWidth="1"/>
    <col min="2329" max="2329" width="10.42578125" style="402" bestFit="1" customWidth="1"/>
    <col min="2330" max="2330" width="14.140625" style="402" customWidth="1"/>
    <col min="2331" max="2554" width="9.140625" style="402"/>
    <col min="2555" max="2555" width="5.140625" style="402" customWidth="1"/>
    <col min="2556" max="2556" width="27.140625" style="402" customWidth="1"/>
    <col min="2557" max="2557" width="0" style="402" hidden="1" customWidth="1"/>
    <col min="2558" max="2558" width="5.85546875" style="402" customWidth="1"/>
    <col min="2559" max="2559" width="4.28515625" style="402" customWidth="1"/>
    <col min="2560" max="2560" width="12.5703125" style="402" customWidth="1"/>
    <col min="2561" max="2564" width="0" style="402" hidden="1" customWidth="1"/>
    <col min="2565" max="2565" width="10.140625" style="402" customWidth="1"/>
    <col min="2566" max="2566" width="11.7109375" style="402" customWidth="1"/>
    <col min="2567" max="2567" width="0" style="402" hidden="1" customWidth="1"/>
    <col min="2568" max="2568" width="8.5703125" style="402" customWidth="1"/>
    <col min="2569" max="2569" width="7.85546875" style="402" customWidth="1"/>
    <col min="2570" max="2570" width="9.5703125" style="402" customWidth="1"/>
    <col min="2571" max="2571" width="0" style="402" hidden="1" customWidth="1"/>
    <col min="2572" max="2572" width="8.140625" style="402" customWidth="1"/>
    <col min="2573" max="2573" width="9.5703125" style="402" customWidth="1"/>
    <col min="2574" max="2574" width="10.85546875" style="402" customWidth="1"/>
    <col min="2575" max="2581" width="10" style="402" customWidth="1"/>
    <col min="2582" max="2582" width="12" style="402" customWidth="1"/>
    <col min="2583" max="2583" width="12.5703125" style="402" customWidth="1"/>
    <col min="2584" max="2584" width="20.140625" style="402" customWidth="1"/>
    <col min="2585" max="2585" width="10.42578125" style="402" bestFit="1" customWidth="1"/>
    <col min="2586" max="2586" width="14.140625" style="402" customWidth="1"/>
    <col min="2587" max="2810" width="9.140625" style="402"/>
    <col min="2811" max="2811" width="5.140625" style="402" customWidth="1"/>
    <col min="2812" max="2812" width="27.140625" style="402" customWidth="1"/>
    <col min="2813" max="2813" width="0" style="402" hidden="1" customWidth="1"/>
    <col min="2814" max="2814" width="5.85546875" style="402" customWidth="1"/>
    <col min="2815" max="2815" width="4.28515625" style="402" customWidth="1"/>
    <col min="2816" max="2816" width="12.5703125" style="402" customWidth="1"/>
    <col min="2817" max="2820" width="0" style="402" hidden="1" customWidth="1"/>
    <col min="2821" max="2821" width="10.140625" style="402" customWidth="1"/>
    <col min="2822" max="2822" width="11.7109375" style="402" customWidth="1"/>
    <col min="2823" max="2823" width="0" style="402" hidden="1" customWidth="1"/>
    <col min="2824" max="2824" width="8.5703125" style="402" customWidth="1"/>
    <col min="2825" max="2825" width="7.85546875" style="402" customWidth="1"/>
    <col min="2826" max="2826" width="9.5703125" style="402" customWidth="1"/>
    <col min="2827" max="2827" width="0" style="402" hidden="1" customWidth="1"/>
    <col min="2828" max="2828" width="8.140625" style="402" customWidth="1"/>
    <col min="2829" max="2829" width="9.5703125" style="402" customWidth="1"/>
    <col min="2830" max="2830" width="10.85546875" style="402" customWidth="1"/>
    <col min="2831" max="2837" width="10" style="402" customWidth="1"/>
    <col min="2838" max="2838" width="12" style="402" customWidth="1"/>
    <col min="2839" max="2839" width="12.5703125" style="402" customWidth="1"/>
    <col min="2840" max="2840" width="20.140625" style="402" customWidth="1"/>
    <col min="2841" max="2841" width="10.42578125" style="402" bestFit="1" customWidth="1"/>
    <col min="2842" max="2842" width="14.140625" style="402" customWidth="1"/>
    <col min="2843" max="3066" width="9.140625" style="402"/>
    <col min="3067" max="3067" width="5.140625" style="402" customWidth="1"/>
    <col min="3068" max="3068" width="27.140625" style="402" customWidth="1"/>
    <col min="3069" max="3069" width="0" style="402" hidden="1" customWidth="1"/>
    <col min="3070" max="3070" width="5.85546875" style="402" customWidth="1"/>
    <col min="3071" max="3071" width="4.28515625" style="402" customWidth="1"/>
    <col min="3072" max="3072" width="12.5703125" style="402" customWidth="1"/>
    <col min="3073" max="3076" width="0" style="402" hidden="1" customWidth="1"/>
    <col min="3077" max="3077" width="10.140625" style="402" customWidth="1"/>
    <col min="3078" max="3078" width="11.7109375" style="402" customWidth="1"/>
    <col min="3079" max="3079" width="0" style="402" hidden="1" customWidth="1"/>
    <col min="3080" max="3080" width="8.5703125" style="402" customWidth="1"/>
    <col min="3081" max="3081" width="7.85546875" style="402" customWidth="1"/>
    <col min="3082" max="3082" width="9.5703125" style="402" customWidth="1"/>
    <col min="3083" max="3083" width="0" style="402" hidden="1" customWidth="1"/>
    <col min="3084" max="3084" width="8.140625" style="402" customWidth="1"/>
    <col min="3085" max="3085" width="9.5703125" style="402" customWidth="1"/>
    <col min="3086" max="3086" width="10.85546875" style="402" customWidth="1"/>
    <col min="3087" max="3093" width="10" style="402" customWidth="1"/>
    <col min="3094" max="3094" width="12" style="402" customWidth="1"/>
    <col min="3095" max="3095" width="12.5703125" style="402" customWidth="1"/>
    <col min="3096" max="3096" width="20.140625" style="402" customWidth="1"/>
    <col min="3097" max="3097" width="10.42578125" style="402" bestFit="1" customWidth="1"/>
    <col min="3098" max="3098" width="14.140625" style="402" customWidth="1"/>
    <col min="3099" max="3322" width="9.140625" style="402"/>
    <col min="3323" max="3323" width="5.140625" style="402" customWidth="1"/>
    <col min="3324" max="3324" width="27.140625" style="402" customWidth="1"/>
    <col min="3325" max="3325" width="0" style="402" hidden="1" customWidth="1"/>
    <col min="3326" max="3326" width="5.85546875" style="402" customWidth="1"/>
    <col min="3327" max="3327" width="4.28515625" style="402" customWidth="1"/>
    <col min="3328" max="3328" width="12.5703125" style="402" customWidth="1"/>
    <col min="3329" max="3332" width="0" style="402" hidden="1" customWidth="1"/>
    <col min="3333" max="3333" width="10.140625" style="402" customWidth="1"/>
    <col min="3334" max="3334" width="11.7109375" style="402" customWidth="1"/>
    <col min="3335" max="3335" width="0" style="402" hidden="1" customWidth="1"/>
    <col min="3336" max="3336" width="8.5703125" style="402" customWidth="1"/>
    <col min="3337" max="3337" width="7.85546875" style="402" customWidth="1"/>
    <col min="3338" max="3338" width="9.5703125" style="402" customWidth="1"/>
    <col min="3339" max="3339" width="0" style="402" hidden="1" customWidth="1"/>
    <col min="3340" max="3340" width="8.140625" style="402" customWidth="1"/>
    <col min="3341" max="3341" width="9.5703125" style="402" customWidth="1"/>
    <col min="3342" max="3342" width="10.85546875" style="402" customWidth="1"/>
    <col min="3343" max="3349" width="10" style="402" customWidth="1"/>
    <col min="3350" max="3350" width="12" style="402" customWidth="1"/>
    <col min="3351" max="3351" width="12.5703125" style="402" customWidth="1"/>
    <col min="3352" max="3352" width="20.140625" style="402" customWidth="1"/>
    <col min="3353" max="3353" width="10.42578125" style="402" bestFit="1" customWidth="1"/>
    <col min="3354" max="3354" width="14.140625" style="402" customWidth="1"/>
    <col min="3355" max="3578" width="9.140625" style="402"/>
    <col min="3579" max="3579" width="5.140625" style="402" customWidth="1"/>
    <col min="3580" max="3580" width="27.140625" style="402" customWidth="1"/>
    <col min="3581" max="3581" width="0" style="402" hidden="1" customWidth="1"/>
    <col min="3582" max="3582" width="5.85546875" style="402" customWidth="1"/>
    <col min="3583" max="3583" width="4.28515625" style="402" customWidth="1"/>
    <col min="3584" max="3584" width="12.5703125" style="402" customWidth="1"/>
    <col min="3585" max="3588" width="0" style="402" hidden="1" customWidth="1"/>
    <col min="3589" max="3589" width="10.140625" style="402" customWidth="1"/>
    <col min="3590" max="3590" width="11.7109375" style="402" customWidth="1"/>
    <col min="3591" max="3591" width="0" style="402" hidden="1" customWidth="1"/>
    <col min="3592" max="3592" width="8.5703125" style="402" customWidth="1"/>
    <col min="3593" max="3593" width="7.85546875" style="402" customWidth="1"/>
    <col min="3594" max="3594" width="9.5703125" style="402" customWidth="1"/>
    <col min="3595" max="3595" width="0" style="402" hidden="1" customWidth="1"/>
    <col min="3596" max="3596" width="8.140625" style="402" customWidth="1"/>
    <col min="3597" max="3597" width="9.5703125" style="402" customWidth="1"/>
    <col min="3598" max="3598" width="10.85546875" style="402" customWidth="1"/>
    <col min="3599" max="3605" width="10" style="402" customWidth="1"/>
    <col min="3606" max="3606" width="12" style="402" customWidth="1"/>
    <col min="3607" max="3607" width="12.5703125" style="402" customWidth="1"/>
    <col min="3608" max="3608" width="20.140625" style="402" customWidth="1"/>
    <col min="3609" max="3609" width="10.42578125" style="402" bestFit="1" customWidth="1"/>
    <col min="3610" max="3610" width="14.140625" style="402" customWidth="1"/>
    <col min="3611" max="3834" width="9.140625" style="402"/>
    <col min="3835" max="3835" width="5.140625" style="402" customWidth="1"/>
    <col min="3836" max="3836" width="27.140625" style="402" customWidth="1"/>
    <col min="3837" max="3837" width="0" style="402" hidden="1" customWidth="1"/>
    <col min="3838" max="3838" width="5.85546875" style="402" customWidth="1"/>
    <col min="3839" max="3839" width="4.28515625" style="402" customWidth="1"/>
    <col min="3840" max="3840" width="12.5703125" style="402" customWidth="1"/>
    <col min="3841" max="3844" width="0" style="402" hidden="1" customWidth="1"/>
    <col min="3845" max="3845" width="10.140625" style="402" customWidth="1"/>
    <col min="3846" max="3846" width="11.7109375" style="402" customWidth="1"/>
    <col min="3847" max="3847" width="0" style="402" hidden="1" customWidth="1"/>
    <col min="3848" max="3848" width="8.5703125" style="402" customWidth="1"/>
    <col min="3849" max="3849" width="7.85546875" style="402" customWidth="1"/>
    <col min="3850" max="3850" width="9.5703125" style="402" customWidth="1"/>
    <col min="3851" max="3851" width="0" style="402" hidden="1" customWidth="1"/>
    <col min="3852" max="3852" width="8.140625" style="402" customWidth="1"/>
    <col min="3853" max="3853" width="9.5703125" style="402" customWidth="1"/>
    <col min="3854" max="3854" width="10.85546875" style="402" customWidth="1"/>
    <col min="3855" max="3861" width="10" style="402" customWidth="1"/>
    <col min="3862" max="3862" width="12" style="402" customWidth="1"/>
    <col min="3863" max="3863" width="12.5703125" style="402" customWidth="1"/>
    <col min="3864" max="3864" width="20.140625" style="402" customWidth="1"/>
    <col min="3865" max="3865" width="10.42578125" style="402" bestFit="1" customWidth="1"/>
    <col min="3866" max="3866" width="14.140625" style="402" customWidth="1"/>
    <col min="3867" max="4090" width="9.140625" style="402"/>
    <col min="4091" max="4091" width="5.140625" style="402" customWidth="1"/>
    <col min="4092" max="4092" width="27.140625" style="402" customWidth="1"/>
    <col min="4093" max="4093" width="0" style="402" hidden="1" customWidth="1"/>
    <col min="4094" max="4094" width="5.85546875" style="402" customWidth="1"/>
    <col min="4095" max="4095" width="4.28515625" style="402" customWidth="1"/>
    <col min="4096" max="4096" width="12.5703125" style="402" customWidth="1"/>
    <col min="4097" max="4100" width="0" style="402" hidden="1" customWidth="1"/>
    <col min="4101" max="4101" width="10.140625" style="402" customWidth="1"/>
    <col min="4102" max="4102" width="11.7109375" style="402" customWidth="1"/>
    <col min="4103" max="4103" width="0" style="402" hidden="1" customWidth="1"/>
    <col min="4104" max="4104" width="8.5703125" style="402" customWidth="1"/>
    <col min="4105" max="4105" width="7.85546875" style="402" customWidth="1"/>
    <col min="4106" max="4106" width="9.5703125" style="402" customWidth="1"/>
    <col min="4107" max="4107" width="0" style="402" hidden="1" customWidth="1"/>
    <col min="4108" max="4108" width="8.140625" style="402" customWidth="1"/>
    <col min="4109" max="4109" width="9.5703125" style="402" customWidth="1"/>
    <col min="4110" max="4110" width="10.85546875" style="402" customWidth="1"/>
    <col min="4111" max="4117" width="10" style="402" customWidth="1"/>
    <col min="4118" max="4118" width="12" style="402" customWidth="1"/>
    <col min="4119" max="4119" width="12.5703125" style="402" customWidth="1"/>
    <col min="4120" max="4120" width="20.140625" style="402" customWidth="1"/>
    <col min="4121" max="4121" width="10.42578125" style="402" bestFit="1" customWidth="1"/>
    <col min="4122" max="4122" width="14.140625" style="402" customWidth="1"/>
    <col min="4123" max="4346" width="9.140625" style="402"/>
    <col min="4347" max="4347" width="5.140625" style="402" customWidth="1"/>
    <col min="4348" max="4348" width="27.140625" style="402" customWidth="1"/>
    <col min="4349" max="4349" width="0" style="402" hidden="1" customWidth="1"/>
    <col min="4350" max="4350" width="5.85546875" style="402" customWidth="1"/>
    <col min="4351" max="4351" width="4.28515625" style="402" customWidth="1"/>
    <col min="4352" max="4352" width="12.5703125" style="402" customWidth="1"/>
    <col min="4353" max="4356" width="0" style="402" hidden="1" customWidth="1"/>
    <col min="4357" max="4357" width="10.140625" style="402" customWidth="1"/>
    <col min="4358" max="4358" width="11.7109375" style="402" customWidth="1"/>
    <col min="4359" max="4359" width="0" style="402" hidden="1" customWidth="1"/>
    <col min="4360" max="4360" width="8.5703125" style="402" customWidth="1"/>
    <col min="4361" max="4361" width="7.85546875" style="402" customWidth="1"/>
    <col min="4362" max="4362" width="9.5703125" style="402" customWidth="1"/>
    <col min="4363" max="4363" width="0" style="402" hidden="1" customWidth="1"/>
    <col min="4364" max="4364" width="8.140625" style="402" customWidth="1"/>
    <col min="4365" max="4365" width="9.5703125" style="402" customWidth="1"/>
    <col min="4366" max="4366" width="10.85546875" style="402" customWidth="1"/>
    <col min="4367" max="4373" width="10" style="402" customWidth="1"/>
    <col min="4374" max="4374" width="12" style="402" customWidth="1"/>
    <col min="4375" max="4375" width="12.5703125" style="402" customWidth="1"/>
    <col min="4376" max="4376" width="20.140625" style="402" customWidth="1"/>
    <col min="4377" max="4377" width="10.42578125" style="402" bestFit="1" customWidth="1"/>
    <col min="4378" max="4378" width="14.140625" style="402" customWidth="1"/>
    <col min="4379" max="4602" width="9.140625" style="402"/>
    <col min="4603" max="4603" width="5.140625" style="402" customWidth="1"/>
    <col min="4604" max="4604" width="27.140625" style="402" customWidth="1"/>
    <col min="4605" max="4605" width="0" style="402" hidden="1" customWidth="1"/>
    <col min="4606" max="4606" width="5.85546875" style="402" customWidth="1"/>
    <col min="4607" max="4607" width="4.28515625" style="402" customWidth="1"/>
    <col min="4608" max="4608" width="12.5703125" style="402" customWidth="1"/>
    <col min="4609" max="4612" width="0" style="402" hidden="1" customWidth="1"/>
    <col min="4613" max="4613" width="10.140625" style="402" customWidth="1"/>
    <col min="4614" max="4614" width="11.7109375" style="402" customWidth="1"/>
    <col min="4615" max="4615" width="0" style="402" hidden="1" customWidth="1"/>
    <col min="4616" max="4616" width="8.5703125" style="402" customWidth="1"/>
    <col min="4617" max="4617" width="7.85546875" style="402" customWidth="1"/>
    <col min="4618" max="4618" width="9.5703125" style="402" customWidth="1"/>
    <col min="4619" max="4619" width="0" style="402" hidden="1" customWidth="1"/>
    <col min="4620" max="4620" width="8.140625" style="402" customWidth="1"/>
    <col min="4621" max="4621" width="9.5703125" style="402" customWidth="1"/>
    <col min="4622" max="4622" width="10.85546875" style="402" customWidth="1"/>
    <col min="4623" max="4629" width="10" style="402" customWidth="1"/>
    <col min="4630" max="4630" width="12" style="402" customWidth="1"/>
    <col min="4631" max="4631" width="12.5703125" style="402" customWidth="1"/>
    <col min="4632" max="4632" width="20.140625" style="402" customWidth="1"/>
    <col min="4633" max="4633" width="10.42578125" style="402" bestFit="1" customWidth="1"/>
    <col min="4634" max="4634" width="14.140625" style="402" customWidth="1"/>
    <col min="4635" max="4858" width="9.140625" style="402"/>
    <col min="4859" max="4859" width="5.140625" style="402" customWidth="1"/>
    <col min="4860" max="4860" width="27.140625" style="402" customWidth="1"/>
    <col min="4861" max="4861" width="0" style="402" hidden="1" customWidth="1"/>
    <col min="4862" max="4862" width="5.85546875" style="402" customWidth="1"/>
    <col min="4863" max="4863" width="4.28515625" style="402" customWidth="1"/>
    <col min="4864" max="4864" width="12.5703125" style="402" customWidth="1"/>
    <col min="4865" max="4868" width="0" style="402" hidden="1" customWidth="1"/>
    <col min="4869" max="4869" width="10.140625" style="402" customWidth="1"/>
    <col min="4870" max="4870" width="11.7109375" style="402" customWidth="1"/>
    <col min="4871" max="4871" width="0" style="402" hidden="1" customWidth="1"/>
    <col min="4872" max="4872" width="8.5703125" style="402" customWidth="1"/>
    <col min="4873" max="4873" width="7.85546875" style="402" customWidth="1"/>
    <col min="4874" max="4874" width="9.5703125" style="402" customWidth="1"/>
    <col min="4875" max="4875" width="0" style="402" hidden="1" customWidth="1"/>
    <col min="4876" max="4876" width="8.140625" style="402" customWidth="1"/>
    <col min="4877" max="4877" width="9.5703125" style="402" customWidth="1"/>
    <col min="4878" max="4878" width="10.85546875" style="402" customWidth="1"/>
    <col min="4879" max="4885" width="10" style="402" customWidth="1"/>
    <col min="4886" max="4886" width="12" style="402" customWidth="1"/>
    <col min="4887" max="4887" width="12.5703125" style="402" customWidth="1"/>
    <col min="4888" max="4888" width="20.140625" style="402" customWidth="1"/>
    <col min="4889" max="4889" width="10.42578125" style="402" bestFit="1" customWidth="1"/>
    <col min="4890" max="4890" width="14.140625" style="402" customWidth="1"/>
    <col min="4891" max="5114" width="9.140625" style="402"/>
    <col min="5115" max="5115" width="5.140625" style="402" customWidth="1"/>
    <col min="5116" max="5116" width="27.140625" style="402" customWidth="1"/>
    <col min="5117" max="5117" width="0" style="402" hidden="1" customWidth="1"/>
    <col min="5118" max="5118" width="5.85546875" style="402" customWidth="1"/>
    <col min="5119" max="5119" width="4.28515625" style="402" customWidth="1"/>
    <col min="5120" max="5120" width="12.5703125" style="402" customWidth="1"/>
    <col min="5121" max="5124" width="0" style="402" hidden="1" customWidth="1"/>
    <col min="5125" max="5125" width="10.140625" style="402" customWidth="1"/>
    <col min="5126" max="5126" width="11.7109375" style="402" customWidth="1"/>
    <col min="5127" max="5127" width="0" style="402" hidden="1" customWidth="1"/>
    <col min="5128" max="5128" width="8.5703125" style="402" customWidth="1"/>
    <col min="5129" max="5129" width="7.85546875" style="402" customWidth="1"/>
    <col min="5130" max="5130" width="9.5703125" style="402" customWidth="1"/>
    <col min="5131" max="5131" width="0" style="402" hidden="1" customWidth="1"/>
    <col min="5132" max="5132" width="8.140625" style="402" customWidth="1"/>
    <col min="5133" max="5133" width="9.5703125" style="402" customWidth="1"/>
    <col min="5134" max="5134" width="10.85546875" style="402" customWidth="1"/>
    <col min="5135" max="5141" width="10" style="402" customWidth="1"/>
    <col min="5142" max="5142" width="12" style="402" customWidth="1"/>
    <col min="5143" max="5143" width="12.5703125" style="402" customWidth="1"/>
    <col min="5144" max="5144" width="20.140625" style="402" customWidth="1"/>
    <col min="5145" max="5145" width="10.42578125" style="402" bestFit="1" customWidth="1"/>
    <col min="5146" max="5146" width="14.140625" style="402" customWidth="1"/>
    <col min="5147" max="5370" width="9.140625" style="402"/>
    <col min="5371" max="5371" width="5.140625" style="402" customWidth="1"/>
    <col min="5372" max="5372" width="27.140625" style="402" customWidth="1"/>
    <col min="5373" max="5373" width="0" style="402" hidden="1" customWidth="1"/>
    <col min="5374" max="5374" width="5.85546875" style="402" customWidth="1"/>
    <col min="5375" max="5375" width="4.28515625" style="402" customWidth="1"/>
    <col min="5376" max="5376" width="12.5703125" style="402" customWidth="1"/>
    <col min="5377" max="5380" width="0" style="402" hidden="1" customWidth="1"/>
    <col min="5381" max="5381" width="10.140625" style="402" customWidth="1"/>
    <col min="5382" max="5382" width="11.7109375" style="402" customWidth="1"/>
    <col min="5383" max="5383" width="0" style="402" hidden="1" customWidth="1"/>
    <col min="5384" max="5384" width="8.5703125" style="402" customWidth="1"/>
    <col min="5385" max="5385" width="7.85546875" style="402" customWidth="1"/>
    <col min="5386" max="5386" width="9.5703125" style="402" customWidth="1"/>
    <col min="5387" max="5387" width="0" style="402" hidden="1" customWidth="1"/>
    <col min="5388" max="5388" width="8.140625" style="402" customWidth="1"/>
    <col min="5389" max="5389" width="9.5703125" style="402" customWidth="1"/>
    <col min="5390" max="5390" width="10.85546875" style="402" customWidth="1"/>
    <col min="5391" max="5397" width="10" style="402" customWidth="1"/>
    <col min="5398" max="5398" width="12" style="402" customWidth="1"/>
    <col min="5399" max="5399" width="12.5703125" style="402" customWidth="1"/>
    <col min="5400" max="5400" width="20.140625" style="402" customWidth="1"/>
    <col min="5401" max="5401" width="10.42578125" style="402" bestFit="1" customWidth="1"/>
    <col min="5402" max="5402" width="14.140625" style="402" customWidth="1"/>
    <col min="5403" max="5626" width="9.140625" style="402"/>
    <col min="5627" max="5627" width="5.140625" style="402" customWidth="1"/>
    <col min="5628" max="5628" width="27.140625" style="402" customWidth="1"/>
    <col min="5629" max="5629" width="0" style="402" hidden="1" customWidth="1"/>
    <col min="5630" max="5630" width="5.85546875" style="402" customWidth="1"/>
    <col min="5631" max="5631" width="4.28515625" style="402" customWidth="1"/>
    <col min="5632" max="5632" width="12.5703125" style="402" customWidth="1"/>
    <col min="5633" max="5636" width="0" style="402" hidden="1" customWidth="1"/>
    <col min="5637" max="5637" width="10.140625" style="402" customWidth="1"/>
    <col min="5638" max="5638" width="11.7109375" style="402" customWidth="1"/>
    <col min="5639" max="5639" width="0" style="402" hidden="1" customWidth="1"/>
    <col min="5640" max="5640" width="8.5703125" style="402" customWidth="1"/>
    <col min="5641" max="5641" width="7.85546875" style="402" customWidth="1"/>
    <col min="5642" max="5642" width="9.5703125" style="402" customWidth="1"/>
    <col min="5643" max="5643" width="0" style="402" hidden="1" customWidth="1"/>
    <col min="5644" max="5644" width="8.140625" style="402" customWidth="1"/>
    <col min="5645" max="5645" width="9.5703125" style="402" customWidth="1"/>
    <col min="5646" max="5646" width="10.85546875" style="402" customWidth="1"/>
    <col min="5647" max="5653" width="10" style="402" customWidth="1"/>
    <col min="5654" max="5654" width="12" style="402" customWidth="1"/>
    <col min="5655" max="5655" width="12.5703125" style="402" customWidth="1"/>
    <col min="5656" max="5656" width="20.140625" style="402" customWidth="1"/>
    <col min="5657" max="5657" width="10.42578125" style="402" bestFit="1" customWidth="1"/>
    <col min="5658" max="5658" width="14.140625" style="402" customWidth="1"/>
    <col min="5659" max="5882" width="9.140625" style="402"/>
    <col min="5883" max="5883" width="5.140625" style="402" customWidth="1"/>
    <col min="5884" max="5884" width="27.140625" style="402" customWidth="1"/>
    <col min="5885" max="5885" width="0" style="402" hidden="1" customWidth="1"/>
    <col min="5886" max="5886" width="5.85546875" style="402" customWidth="1"/>
    <col min="5887" max="5887" width="4.28515625" style="402" customWidth="1"/>
    <col min="5888" max="5888" width="12.5703125" style="402" customWidth="1"/>
    <col min="5889" max="5892" width="0" style="402" hidden="1" customWidth="1"/>
    <col min="5893" max="5893" width="10.140625" style="402" customWidth="1"/>
    <col min="5894" max="5894" width="11.7109375" style="402" customWidth="1"/>
    <col min="5895" max="5895" width="0" style="402" hidden="1" customWidth="1"/>
    <col min="5896" max="5896" width="8.5703125" style="402" customWidth="1"/>
    <col min="5897" max="5897" width="7.85546875" style="402" customWidth="1"/>
    <col min="5898" max="5898" width="9.5703125" style="402" customWidth="1"/>
    <col min="5899" max="5899" width="0" style="402" hidden="1" customWidth="1"/>
    <col min="5900" max="5900" width="8.140625" style="402" customWidth="1"/>
    <col min="5901" max="5901" width="9.5703125" style="402" customWidth="1"/>
    <col min="5902" max="5902" width="10.85546875" style="402" customWidth="1"/>
    <col min="5903" max="5909" width="10" style="402" customWidth="1"/>
    <col min="5910" max="5910" width="12" style="402" customWidth="1"/>
    <col min="5911" max="5911" width="12.5703125" style="402" customWidth="1"/>
    <col min="5912" max="5912" width="20.140625" style="402" customWidth="1"/>
    <col min="5913" max="5913" width="10.42578125" style="402" bestFit="1" customWidth="1"/>
    <col min="5914" max="5914" width="14.140625" style="402" customWidth="1"/>
    <col min="5915" max="6138" width="9.140625" style="402"/>
    <col min="6139" max="6139" width="5.140625" style="402" customWidth="1"/>
    <col min="6140" max="6140" width="27.140625" style="402" customWidth="1"/>
    <col min="6141" max="6141" width="0" style="402" hidden="1" customWidth="1"/>
    <col min="6142" max="6142" width="5.85546875" style="402" customWidth="1"/>
    <col min="6143" max="6143" width="4.28515625" style="402" customWidth="1"/>
    <col min="6144" max="6144" width="12.5703125" style="402" customWidth="1"/>
    <col min="6145" max="6148" width="0" style="402" hidden="1" customWidth="1"/>
    <col min="6149" max="6149" width="10.140625" style="402" customWidth="1"/>
    <col min="6150" max="6150" width="11.7109375" style="402" customWidth="1"/>
    <col min="6151" max="6151" width="0" style="402" hidden="1" customWidth="1"/>
    <col min="6152" max="6152" width="8.5703125" style="402" customWidth="1"/>
    <col min="6153" max="6153" width="7.85546875" style="402" customWidth="1"/>
    <col min="6154" max="6154" width="9.5703125" style="402" customWidth="1"/>
    <col min="6155" max="6155" width="0" style="402" hidden="1" customWidth="1"/>
    <col min="6156" max="6156" width="8.140625" style="402" customWidth="1"/>
    <col min="6157" max="6157" width="9.5703125" style="402" customWidth="1"/>
    <col min="6158" max="6158" width="10.85546875" style="402" customWidth="1"/>
    <col min="6159" max="6165" width="10" style="402" customWidth="1"/>
    <col min="6166" max="6166" width="12" style="402" customWidth="1"/>
    <col min="6167" max="6167" width="12.5703125" style="402" customWidth="1"/>
    <col min="6168" max="6168" width="20.140625" style="402" customWidth="1"/>
    <col min="6169" max="6169" width="10.42578125" style="402" bestFit="1" customWidth="1"/>
    <col min="6170" max="6170" width="14.140625" style="402" customWidth="1"/>
    <col min="6171" max="6394" width="9.140625" style="402"/>
    <col min="6395" max="6395" width="5.140625" style="402" customWidth="1"/>
    <col min="6396" max="6396" width="27.140625" style="402" customWidth="1"/>
    <col min="6397" max="6397" width="0" style="402" hidden="1" customWidth="1"/>
    <col min="6398" max="6398" width="5.85546875" style="402" customWidth="1"/>
    <col min="6399" max="6399" width="4.28515625" style="402" customWidth="1"/>
    <col min="6400" max="6400" width="12.5703125" style="402" customWidth="1"/>
    <col min="6401" max="6404" width="0" style="402" hidden="1" customWidth="1"/>
    <col min="6405" max="6405" width="10.140625" style="402" customWidth="1"/>
    <col min="6406" max="6406" width="11.7109375" style="402" customWidth="1"/>
    <col min="6407" max="6407" width="0" style="402" hidden="1" customWidth="1"/>
    <col min="6408" max="6408" width="8.5703125" style="402" customWidth="1"/>
    <col min="6409" max="6409" width="7.85546875" style="402" customWidth="1"/>
    <col min="6410" max="6410" width="9.5703125" style="402" customWidth="1"/>
    <col min="6411" max="6411" width="0" style="402" hidden="1" customWidth="1"/>
    <col min="6412" max="6412" width="8.140625" style="402" customWidth="1"/>
    <col min="6413" max="6413" width="9.5703125" style="402" customWidth="1"/>
    <col min="6414" max="6414" width="10.85546875" style="402" customWidth="1"/>
    <col min="6415" max="6421" width="10" style="402" customWidth="1"/>
    <col min="6422" max="6422" width="12" style="402" customWidth="1"/>
    <col min="6423" max="6423" width="12.5703125" style="402" customWidth="1"/>
    <col min="6424" max="6424" width="20.140625" style="402" customWidth="1"/>
    <col min="6425" max="6425" width="10.42578125" style="402" bestFit="1" customWidth="1"/>
    <col min="6426" max="6426" width="14.140625" style="402" customWidth="1"/>
    <col min="6427" max="6650" width="9.140625" style="402"/>
    <col min="6651" max="6651" width="5.140625" style="402" customWidth="1"/>
    <col min="6652" max="6652" width="27.140625" style="402" customWidth="1"/>
    <col min="6653" max="6653" width="0" style="402" hidden="1" customWidth="1"/>
    <col min="6654" max="6654" width="5.85546875" style="402" customWidth="1"/>
    <col min="6655" max="6655" width="4.28515625" style="402" customWidth="1"/>
    <col min="6656" max="6656" width="12.5703125" style="402" customWidth="1"/>
    <col min="6657" max="6660" width="0" style="402" hidden="1" customWidth="1"/>
    <col min="6661" max="6661" width="10.140625" style="402" customWidth="1"/>
    <col min="6662" max="6662" width="11.7109375" style="402" customWidth="1"/>
    <col min="6663" max="6663" width="0" style="402" hidden="1" customWidth="1"/>
    <col min="6664" max="6664" width="8.5703125" style="402" customWidth="1"/>
    <col min="6665" max="6665" width="7.85546875" style="402" customWidth="1"/>
    <col min="6666" max="6666" width="9.5703125" style="402" customWidth="1"/>
    <col min="6667" max="6667" width="0" style="402" hidden="1" customWidth="1"/>
    <col min="6668" max="6668" width="8.140625" style="402" customWidth="1"/>
    <col min="6669" max="6669" width="9.5703125" style="402" customWidth="1"/>
    <col min="6670" max="6670" width="10.85546875" style="402" customWidth="1"/>
    <col min="6671" max="6677" width="10" style="402" customWidth="1"/>
    <col min="6678" max="6678" width="12" style="402" customWidth="1"/>
    <col min="6679" max="6679" width="12.5703125" style="402" customWidth="1"/>
    <col min="6680" max="6680" width="20.140625" style="402" customWidth="1"/>
    <col min="6681" max="6681" width="10.42578125" style="402" bestFit="1" customWidth="1"/>
    <col min="6682" max="6682" width="14.140625" style="402" customWidth="1"/>
    <col min="6683" max="6906" width="9.140625" style="402"/>
    <col min="6907" max="6907" width="5.140625" style="402" customWidth="1"/>
    <col min="6908" max="6908" width="27.140625" style="402" customWidth="1"/>
    <col min="6909" max="6909" width="0" style="402" hidden="1" customWidth="1"/>
    <col min="6910" max="6910" width="5.85546875" style="402" customWidth="1"/>
    <col min="6911" max="6911" width="4.28515625" style="402" customWidth="1"/>
    <col min="6912" max="6912" width="12.5703125" style="402" customWidth="1"/>
    <col min="6913" max="6916" width="0" style="402" hidden="1" customWidth="1"/>
    <col min="6917" max="6917" width="10.140625" style="402" customWidth="1"/>
    <col min="6918" max="6918" width="11.7109375" style="402" customWidth="1"/>
    <col min="6919" max="6919" width="0" style="402" hidden="1" customWidth="1"/>
    <col min="6920" max="6920" width="8.5703125" style="402" customWidth="1"/>
    <col min="6921" max="6921" width="7.85546875" style="402" customWidth="1"/>
    <col min="6922" max="6922" width="9.5703125" style="402" customWidth="1"/>
    <col min="6923" max="6923" width="0" style="402" hidden="1" customWidth="1"/>
    <col min="6924" max="6924" width="8.140625" style="402" customWidth="1"/>
    <col min="6925" max="6925" width="9.5703125" style="402" customWidth="1"/>
    <col min="6926" max="6926" width="10.85546875" style="402" customWidth="1"/>
    <col min="6927" max="6933" width="10" style="402" customWidth="1"/>
    <col min="6934" max="6934" width="12" style="402" customWidth="1"/>
    <col min="6935" max="6935" width="12.5703125" style="402" customWidth="1"/>
    <col min="6936" max="6936" width="20.140625" style="402" customWidth="1"/>
    <col min="6937" max="6937" width="10.42578125" style="402" bestFit="1" customWidth="1"/>
    <col min="6938" max="6938" width="14.140625" style="402" customWidth="1"/>
    <col min="6939" max="7162" width="9.140625" style="402"/>
    <col min="7163" max="7163" width="5.140625" style="402" customWidth="1"/>
    <col min="7164" max="7164" width="27.140625" style="402" customWidth="1"/>
    <col min="7165" max="7165" width="0" style="402" hidden="1" customWidth="1"/>
    <col min="7166" max="7166" width="5.85546875" style="402" customWidth="1"/>
    <col min="7167" max="7167" width="4.28515625" style="402" customWidth="1"/>
    <col min="7168" max="7168" width="12.5703125" style="402" customWidth="1"/>
    <col min="7169" max="7172" width="0" style="402" hidden="1" customWidth="1"/>
    <col min="7173" max="7173" width="10.140625" style="402" customWidth="1"/>
    <col min="7174" max="7174" width="11.7109375" style="402" customWidth="1"/>
    <col min="7175" max="7175" width="0" style="402" hidden="1" customWidth="1"/>
    <col min="7176" max="7176" width="8.5703125" style="402" customWidth="1"/>
    <col min="7177" max="7177" width="7.85546875" style="402" customWidth="1"/>
    <col min="7178" max="7178" width="9.5703125" style="402" customWidth="1"/>
    <col min="7179" max="7179" width="0" style="402" hidden="1" customWidth="1"/>
    <col min="7180" max="7180" width="8.140625" style="402" customWidth="1"/>
    <col min="7181" max="7181" width="9.5703125" style="402" customWidth="1"/>
    <col min="7182" max="7182" width="10.85546875" style="402" customWidth="1"/>
    <col min="7183" max="7189" width="10" style="402" customWidth="1"/>
    <col min="7190" max="7190" width="12" style="402" customWidth="1"/>
    <col min="7191" max="7191" width="12.5703125" style="402" customWidth="1"/>
    <col min="7192" max="7192" width="20.140625" style="402" customWidth="1"/>
    <col min="7193" max="7193" width="10.42578125" style="402" bestFit="1" customWidth="1"/>
    <col min="7194" max="7194" width="14.140625" style="402" customWidth="1"/>
    <col min="7195" max="7418" width="9.140625" style="402"/>
    <col min="7419" max="7419" width="5.140625" style="402" customWidth="1"/>
    <col min="7420" max="7420" width="27.140625" style="402" customWidth="1"/>
    <col min="7421" max="7421" width="0" style="402" hidden="1" customWidth="1"/>
    <col min="7422" max="7422" width="5.85546875" style="402" customWidth="1"/>
    <col min="7423" max="7423" width="4.28515625" style="402" customWidth="1"/>
    <col min="7424" max="7424" width="12.5703125" style="402" customWidth="1"/>
    <col min="7425" max="7428" width="0" style="402" hidden="1" customWidth="1"/>
    <col min="7429" max="7429" width="10.140625" style="402" customWidth="1"/>
    <col min="7430" max="7430" width="11.7109375" style="402" customWidth="1"/>
    <col min="7431" max="7431" width="0" style="402" hidden="1" customWidth="1"/>
    <col min="7432" max="7432" width="8.5703125" style="402" customWidth="1"/>
    <col min="7433" max="7433" width="7.85546875" style="402" customWidth="1"/>
    <col min="7434" max="7434" width="9.5703125" style="402" customWidth="1"/>
    <col min="7435" max="7435" width="0" style="402" hidden="1" customWidth="1"/>
    <col min="7436" max="7436" width="8.140625" style="402" customWidth="1"/>
    <col min="7437" max="7437" width="9.5703125" style="402" customWidth="1"/>
    <col min="7438" max="7438" width="10.85546875" style="402" customWidth="1"/>
    <col min="7439" max="7445" width="10" style="402" customWidth="1"/>
    <col min="7446" max="7446" width="12" style="402" customWidth="1"/>
    <col min="7447" max="7447" width="12.5703125" style="402" customWidth="1"/>
    <col min="7448" max="7448" width="20.140625" style="402" customWidth="1"/>
    <col min="7449" max="7449" width="10.42578125" style="402" bestFit="1" customWidth="1"/>
    <col min="7450" max="7450" width="14.140625" style="402" customWidth="1"/>
    <col min="7451" max="7674" width="9.140625" style="402"/>
    <col min="7675" max="7675" width="5.140625" style="402" customWidth="1"/>
    <col min="7676" max="7676" width="27.140625" style="402" customWidth="1"/>
    <col min="7677" max="7677" width="0" style="402" hidden="1" customWidth="1"/>
    <col min="7678" max="7678" width="5.85546875" style="402" customWidth="1"/>
    <col min="7679" max="7679" width="4.28515625" style="402" customWidth="1"/>
    <col min="7680" max="7680" width="12.5703125" style="402" customWidth="1"/>
    <col min="7681" max="7684" width="0" style="402" hidden="1" customWidth="1"/>
    <col min="7685" max="7685" width="10.140625" style="402" customWidth="1"/>
    <col min="7686" max="7686" width="11.7109375" style="402" customWidth="1"/>
    <col min="7687" max="7687" width="0" style="402" hidden="1" customWidth="1"/>
    <col min="7688" max="7688" width="8.5703125" style="402" customWidth="1"/>
    <col min="7689" max="7689" width="7.85546875" style="402" customWidth="1"/>
    <col min="7690" max="7690" width="9.5703125" style="402" customWidth="1"/>
    <col min="7691" max="7691" width="0" style="402" hidden="1" customWidth="1"/>
    <col min="7692" max="7692" width="8.140625" style="402" customWidth="1"/>
    <col min="7693" max="7693" width="9.5703125" style="402" customWidth="1"/>
    <col min="7694" max="7694" width="10.85546875" style="402" customWidth="1"/>
    <col min="7695" max="7701" width="10" style="402" customWidth="1"/>
    <col min="7702" max="7702" width="12" style="402" customWidth="1"/>
    <col min="7703" max="7703" width="12.5703125" style="402" customWidth="1"/>
    <col min="7704" max="7704" width="20.140625" style="402" customWidth="1"/>
    <col min="7705" max="7705" width="10.42578125" style="402" bestFit="1" customWidth="1"/>
    <col min="7706" max="7706" width="14.140625" style="402" customWidth="1"/>
    <col min="7707" max="7930" width="9.140625" style="402"/>
    <col min="7931" max="7931" width="5.140625" style="402" customWidth="1"/>
    <col min="7932" max="7932" width="27.140625" style="402" customWidth="1"/>
    <col min="7933" max="7933" width="0" style="402" hidden="1" customWidth="1"/>
    <col min="7934" max="7934" width="5.85546875" style="402" customWidth="1"/>
    <col min="7935" max="7935" width="4.28515625" style="402" customWidth="1"/>
    <col min="7936" max="7936" width="12.5703125" style="402" customWidth="1"/>
    <col min="7937" max="7940" width="0" style="402" hidden="1" customWidth="1"/>
    <col min="7941" max="7941" width="10.140625" style="402" customWidth="1"/>
    <col min="7942" max="7942" width="11.7109375" style="402" customWidth="1"/>
    <col min="7943" max="7943" width="0" style="402" hidden="1" customWidth="1"/>
    <col min="7944" max="7944" width="8.5703125" style="402" customWidth="1"/>
    <col min="7945" max="7945" width="7.85546875" style="402" customWidth="1"/>
    <col min="7946" max="7946" width="9.5703125" style="402" customWidth="1"/>
    <col min="7947" max="7947" width="0" style="402" hidden="1" customWidth="1"/>
    <col min="7948" max="7948" width="8.140625" style="402" customWidth="1"/>
    <col min="7949" max="7949" width="9.5703125" style="402" customWidth="1"/>
    <col min="7950" max="7950" width="10.85546875" style="402" customWidth="1"/>
    <col min="7951" max="7957" width="10" style="402" customWidth="1"/>
    <col min="7958" max="7958" width="12" style="402" customWidth="1"/>
    <col min="7959" max="7959" width="12.5703125" style="402" customWidth="1"/>
    <col min="7960" max="7960" width="20.140625" style="402" customWidth="1"/>
    <col min="7961" max="7961" width="10.42578125" style="402" bestFit="1" customWidth="1"/>
    <col min="7962" max="7962" width="14.140625" style="402" customWidth="1"/>
    <col min="7963" max="8186" width="9.140625" style="402"/>
    <col min="8187" max="8187" width="5.140625" style="402" customWidth="1"/>
    <col min="8188" max="8188" width="27.140625" style="402" customWidth="1"/>
    <col min="8189" max="8189" width="0" style="402" hidden="1" customWidth="1"/>
    <col min="8190" max="8190" width="5.85546875" style="402" customWidth="1"/>
    <col min="8191" max="8191" width="4.28515625" style="402" customWidth="1"/>
    <col min="8192" max="8192" width="12.5703125" style="402" customWidth="1"/>
    <col min="8193" max="8196" width="0" style="402" hidden="1" customWidth="1"/>
    <col min="8197" max="8197" width="10.140625" style="402" customWidth="1"/>
    <col min="8198" max="8198" width="11.7109375" style="402" customWidth="1"/>
    <col min="8199" max="8199" width="0" style="402" hidden="1" customWidth="1"/>
    <col min="8200" max="8200" width="8.5703125" style="402" customWidth="1"/>
    <col min="8201" max="8201" width="7.85546875" style="402" customWidth="1"/>
    <col min="8202" max="8202" width="9.5703125" style="402" customWidth="1"/>
    <col min="8203" max="8203" width="0" style="402" hidden="1" customWidth="1"/>
    <col min="8204" max="8204" width="8.140625" style="402" customWidth="1"/>
    <col min="8205" max="8205" width="9.5703125" style="402" customWidth="1"/>
    <col min="8206" max="8206" width="10.85546875" style="402" customWidth="1"/>
    <col min="8207" max="8213" width="10" style="402" customWidth="1"/>
    <col min="8214" max="8214" width="12" style="402" customWidth="1"/>
    <col min="8215" max="8215" width="12.5703125" style="402" customWidth="1"/>
    <col min="8216" max="8216" width="20.140625" style="402" customWidth="1"/>
    <col min="8217" max="8217" width="10.42578125" style="402" bestFit="1" customWidth="1"/>
    <col min="8218" max="8218" width="14.140625" style="402" customWidth="1"/>
    <col min="8219" max="8442" width="9.140625" style="402"/>
    <col min="8443" max="8443" width="5.140625" style="402" customWidth="1"/>
    <col min="8444" max="8444" width="27.140625" style="402" customWidth="1"/>
    <col min="8445" max="8445" width="0" style="402" hidden="1" customWidth="1"/>
    <col min="8446" max="8446" width="5.85546875" style="402" customWidth="1"/>
    <col min="8447" max="8447" width="4.28515625" style="402" customWidth="1"/>
    <col min="8448" max="8448" width="12.5703125" style="402" customWidth="1"/>
    <col min="8449" max="8452" width="0" style="402" hidden="1" customWidth="1"/>
    <col min="8453" max="8453" width="10.140625" style="402" customWidth="1"/>
    <col min="8454" max="8454" width="11.7109375" style="402" customWidth="1"/>
    <col min="8455" max="8455" width="0" style="402" hidden="1" customWidth="1"/>
    <col min="8456" max="8456" width="8.5703125" style="402" customWidth="1"/>
    <col min="8457" max="8457" width="7.85546875" style="402" customWidth="1"/>
    <col min="8458" max="8458" width="9.5703125" style="402" customWidth="1"/>
    <col min="8459" max="8459" width="0" style="402" hidden="1" customWidth="1"/>
    <col min="8460" max="8460" width="8.140625" style="402" customWidth="1"/>
    <col min="8461" max="8461" width="9.5703125" style="402" customWidth="1"/>
    <col min="8462" max="8462" width="10.85546875" style="402" customWidth="1"/>
    <col min="8463" max="8469" width="10" style="402" customWidth="1"/>
    <col min="8470" max="8470" width="12" style="402" customWidth="1"/>
    <col min="8471" max="8471" width="12.5703125" style="402" customWidth="1"/>
    <col min="8472" max="8472" width="20.140625" style="402" customWidth="1"/>
    <col min="8473" max="8473" width="10.42578125" style="402" bestFit="1" customWidth="1"/>
    <col min="8474" max="8474" width="14.140625" style="402" customWidth="1"/>
    <col min="8475" max="8698" width="9.140625" style="402"/>
    <col min="8699" max="8699" width="5.140625" style="402" customWidth="1"/>
    <col min="8700" max="8700" width="27.140625" style="402" customWidth="1"/>
    <col min="8701" max="8701" width="0" style="402" hidden="1" customWidth="1"/>
    <col min="8702" max="8702" width="5.85546875" style="402" customWidth="1"/>
    <col min="8703" max="8703" width="4.28515625" style="402" customWidth="1"/>
    <col min="8704" max="8704" width="12.5703125" style="402" customWidth="1"/>
    <col min="8705" max="8708" width="0" style="402" hidden="1" customWidth="1"/>
    <col min="8709" max="8709" width="10.140625" style="402" customWidth="1"/>
    <col min="8710" max="8710" width="11.7109375" style="402" customWidth="1"/>
    <col min="8711" max="8711" width="0" style="402" hidden="1" customWidth="1"/>
    <col min="8712" max="8712" width="8.5703125" style="402" customWidth="1"/>
    <col min="8713" max="8713" width="7.85546875" style="402" customWidth="1"/>
    <col min="8714" max="8714" width="9.5703125" style="402" customWidth="1"/>
    <col min="8715" max="8715" width="0" style="402" hidden="1" customWidth="1"/>
    <col min="8716" max="8716" width="8.140625" style="402" customWidth="1"/>
    <col min="8717" max="8717" width="9.5703125" style="402" customWidth="1"/>
    <col min="8718" max="8718" width="10.85546875" style="402" customWidth="1"/>
    <col min="8719" max="8725" width="10" style="402" customWidth="1"/>
    <col min="8726" max="8726" width="12" style="402" customWidth="1"/>
    <col min="8727" max="8727" width="12.5703125" style="402" customWidth="1"/>
    <col min="8728" max="8728" width="20.140625" style="402" customWidth="1"/>
    <col min="8729" max="8729" width="10.42578125" style="402" bestFit="1" customWidth="1"/>
    <col min="8730" max="8730" width="14.140625" style="402" customWidth="1"/>
    <col min="8731" max="8954" width="9.140625" style="402"/>
    <col min="8955" max="8955" width="5.140625" style="402" customWidth="1"/>
    <col min="8956" max="8956" width="27.140625" style="402" customWidth="1"/>
    <col min="8957" max="8957" width="0" style="402" hidden="1" customWidth="1"/>
    <col min="8958" max="8958" width="5.85546875" style="402" customWidth="1"/>
    <col min="8959" max="8959" width="4.28515625" style="402" customWidth="1"/>
    <col min="8960" max="8960" width="12.5703125" style="402" customWidth="1"/>
    <col min="8961" max="8964" width="0" style="402" hidden="1" customWidth="1"/>
    <col min="8965" max="8965" width="10.140625" style="402" customWidth="1"/>
    <col min="8966" max="8966" width="11.7109375" style="402" customWidth="1"/>
    <col min="8967" max="8967" width="0" style="402" hidden="1" customWidth="1"/>
    <col min="8968" max="8968" width="8.5703125" style="402" customWidth="1"/>
    <col min="8969" max="8969" width="7.85546875" style="402" customWidth="1"/>
    <col min="8970" max="8970" width="9.5703125" style="402" customWidth="1"/>
    <col min="8971" max="8971" width="0" style="402" hidden="1" customWidth="1"/>
    <col min="8972" max="8972" width="8.140625" style="402" customWidth="1"/>
    <col min="8973" max="8973" width="9.5703125" style="402" customWidth="1"/>
    <col min="8974" max="8974" width="10.85546875" style="402" customWidth="1"/>
    <col min="8975" max="8981" width="10" style="402" customWidth="1"/>
    <col min="8982" max="8982" width="12" style="402" customWidth="1"/>
    <col min="8983" max="8983" width="12.5703125" style="402" customWidth="1"/>
    <col min="8984" max="8984" width="20.140625" style="402" customWidth="1"/>
    <col min="8985" max="8985" width="10.42578125" style="402" bestFit="1" customWidth="1"/>
    <col min="8986" max="8986" width="14.140625" style="402" customWidth="1"/>
    <col min="8987" max="9210" width="9.140625" style="402"/>
    <col min="9211" max="9211" width="5.140625" style="402" customWidth="1"/>
    <col min="9212" max="9212" width="27.140625" style="402" customWidth="1"/>
    <col min="9213" max="9213" width="0" style="402" hidden="1" customWidth="1"/>
    <col min="9214" max="9214" width="5.85546875" style="402" customWidth="1"/>
    <col min="9215" max="9215" width="4.28515625" style="402" customWidth="1"/>
    <col min="9216" max="9216" width="12.5703125" style="402" customWidth="1"/>
    <col min="9217" max="9220" width="0" style="402" hidden="1" customWidth="1"/>
    <col min="9221" max="9221" width="10.140625" style="402" customWidth="1"/>
    <col min="9222" max="9222" width="11.7109375" style="402" customWidth="1"/>
    <col min="9223" max="9223" width="0" style="402" hidden="1" customWidth="1"/>
    <col min="9224" max="9224" width="8.5703125" style="402" customWidth="1"/>
    <col min="9225" max="9225" width="7.85546875" style="402" customWidth="1"/>
    <col min="9226" max="9226" width="9.5703125" style="402" customWidth="1"/>
    <col min="9227" max="9227" width="0" style="402" hidden="1" customWidth="1"/>
    <col min="9228" max="9228" width="8.140625" style="402" customWidth="1"/>
    <col min="9229" max="9229" width="9.5703125" style="402" customWidth="1"/>
    <col min="9230" max="9230" width="10.85546875" style="402" customWidth="1"/>
    <col min="9231" max="9237" width="10" style="402" customWidth="1"/>
    <col min="9238" max="9238" width="12" style="402" customWidth="1"/>
    <col min="9239" max="9239" width="12.5703125" style="402" customWidth="1"/>
    <col min="9240" max="9240" width="20.140625" style="402" customWidth="1"/>
    <col min="9241" max="9241" width="10.42578125" style="402" bestFit="1" customWidth="1"/>
    <col min="9242" max="9242" width="14.140625" style="402" customWidth="1"/>
    <col min="9243" max="9466" width="9.140625" style="402"/>
    <col min="9467" max="9467" width="5.140625" style="402" customWidth="1"/>
    <col min="9468" max="9468" width="27.140625" style="402" customWidth="1"/>
    <col min="9469" max="9469" width="0" style="402" hidden="1" customWidth="1"/>
    <col min="9470" max="9470" width="5.85546875" style="402" customWidth="1"/>
    <col min="9471" max="9471" width="4.28515625" style="402" customWidth="1"/>
    <col min="9472" max="9472" width="12.5703125" style="402" customWidth="1"/>
    <col min="9473" max="9476" width="0" style="402" hidden="1" customWidth="1"/>
    <col min="9477" max="9477" width="10.140625" style="402" customWidth="1"/>
    <col min="9478" max="9478" width="11.7109375" style="402" customWidth="1"/>
    <col min="9479" max="9479" width="0" style="402" hidden="1" customWidth="1"/>
    <col min="9480" max="9480" width="8.5703125" style="402" customWidth="1"/>
    <col min="9481" max="9481" width="7.85546875" style="402" customWidth="1"/>
    <col min="9482" max="9482" width="9.5703125" style="402" customWidth="1"/>
    <col min="9483" max="9483" width="0" style="402" hidden="1" customWidth="1"/>
    <col min="9484" max="9484" width="8.140625" style="402" customWidth="1"/>
    <col min="9485" max="9485" width="9.5703125" style="402" customWidth="1"/>
    <col min="9486" max="9486" width="10.85546875" style="402" customWidth="1"/>
    <col min="9487" max="9493" width="10" style="402" customWidth="1"/>
    <col min="9494" max="9494" width="12" style="402" customWidth="1"/>
    <col min="9495" max="9495" width="12.5703125" style="402" customWidth="1"/>
    <col min="9496" max="9496" width="20.140625" style="402" customWidth="1"/>
    <col min="9497" max="9497" width="10.42578125" style="402" bestFit="1" customWidth="1"/>
    <col min="9498" max="9498" width="14.140625" style="402" customWidth="1"/>
    <col min="9499" max="9722" width="9.140625" style="402"/>
    <col min="9723" max="9723" width="5.140625" style="402" customWidth="1"/>
    <col min="9724" max="9724" width="27.140625" style="402" customWidth="1"/>
    <col min="9725" max="9725" width="0" style="402" hidden="1" customWidth="1"/>
    <col min="9726" max="9726" width="5.85546875" style="402" customWidth="1"/>
    <col min="9727" max="9727" width="4.28515625" style="402" customWidth="1"/>
    <col min="9728" max="9728" width="12.5703125" style="402" customWidth="1"/>
    <col min="9729" max="9732" width="0" style="402" hidden="1" customWidth="1"/>
    <col min="9733" max="9733" width="10.140625" style="402" customWidth="1"/>
    <col min="9734" max="9734" width="11.7109375" style="402" customWidth="1"/>
    <col min="9735" max="9735" width="0" style="402" hidden="1" customWidth="1"/>
    <col min="9736" max="9736" width="8.5703125" style="402" customWidth="1"/>
    <col min="9737" max="9737" width="7.85546875" style="402" customWidth="1"/>
    <col min="9738" max="9738" width="9.5703125" style="402" customWidth="1"/>
    <col min="9739" max="9739" width="0" style="402" hidden="1" customWidth="1"/>
    <col min="9740" max="9740" width="8.140625" style="402" customWidth="1"/>
    <col min="9741" max="9741" width="9.5703125" style="402" customWidth="1"/>
    <col min="9742" max="9742" width="10.85546875" style="402" customWidth="1"/>
    <col min="9743" max="9749" width="10" style="402" customWidth="1"/>
    <col min="9750" max="9750" width="12" style="402" customWidth="1"/>
    <col min="9751" max="9751" width="12.5703125" style="402" customWidth="1"/>
    <col min="9752" max="9752" width="20.140625" style="402" customWidth="1"/>
    <col min="9753" max="9753" width="10.42578125" style="402" bestFit="1" customWidth="1"/>
    <col min="9754" max="9754" width="14.140625" style="402" customWidth="1"/>
    <col min="9755" max="9978" width="9.140625" style="402"/>
    <col min="9979" max="9979" width="5.140625" style="402" customWidth="1"/>
    <col min="9980" max="9980" width="27.140625" style="402" customWidth="1"/>
    <col min="9981" max="9981" width="0" style="402" hidden="1" customWidth="1"/>
    <col min="9982" max="9982" width="5.85546875" style="402" customWidth="1"/>
    <col min="9983" max="9983" width="4.28515625" style="402" customWidth="1"/>
    <col min="9984" max="9984" width="12.5703125" style="402" customWidth="1"/>
    <col min="9985" max="9988" width="0" style="402" hidden="1" customWidth="1"/>
    <col min="9989" max="9989" width="10.140625" style="402" customWidth="1"/>
    <col min="9990" max="9990" width="11.7109375" style="402" customWidth="1"/>
    <col min="9991" max="9991" width="0" style="402" hidden="1" customWidth="1"/>
    <col min="9992" max="9992" width="8.5703125" style="402" customWidth="1"/>
    <col min="9993" max="9993" width="7.85546875" style="402" customWidth="1"/>
    <col min="9994" max="9994" width="9.5703125" style="402" customWidth="1"/>
    <col min="9995" max="9995" width="0" style="402" hidden="1" customWidth="1"/>
    <col min="9996" max="9996" width="8.140625" style="402" customWidth="1"/>
    <col min="9997" max="9997" width="9.5703125" style="402" customWidth="1"/>
    <col min="9998" max="9998" width="10.85546875" style="402" customWidth="1"/>
    <col min="9999" max="10005" width="10" style="402" customWidth="1"/>
    <col min="10006" max="10006" width="12" style="402" customWidth="1"/>
    <col min="10007" max="10007" width="12.5703125" style="402" customWidth="1"/>
    <col min="10008" max="10008" width="20.140625" style="402" customWidth="1"/>
    <col min="10009" max="10009" width="10.42578125" style="402" bestFit="1" customWidth="1"/>
    <col min="10010" max="10010" width="14.140625" style="402" customWidth="1"/>
    <col min="10011" max="10234" width="9.140625" style="402"/>
    <col min="10235" max="10235" width="5.140625" style="402" customWidth="1"/>
    <col min="10236" max="10236" width="27.140625" style="402" customWidth="1"/>
    <col min="10237" max="10237" width="0" style="402" hidden="1" customWidth="1"/>
    <col min="10238" max="10238" width="5.85546875" style="402" customWidth="1"/>
    <col min="10239" max="10239" width="4.28515625" style="402" customWidth="1"/>
    <col min="10240" max="10240" width="12.5703125" style="402" customWidth="1"/>
    <col min="10241" max="10244" width="0" style="402" hidden="1" customWidth="1"/>
    <col min="10245" max="10245" width="10.140625" style="402" customWidth="1"/>
    <col min="10246" max="10246" width="11.7109375" style="402" customWidth="1"/>
    <col min="10247" max="10247" width="0" style="402" hidden="1" customWidth="1"/>
    <col min="10248" max="10248" width="8.5703125" style="402" customWidth="1"/>
    <col min="10249" max="10249" width="7.85546875" style="402" customWidth="1"/>
    <col min="10250" max="10250" width="9.5703125" style="402" customWidth="1"/>
    <col min="10251" max="10251" width="0" style="402" hidden="1" customWidth="1"/>
    <col min="10252" max="10252" width="8.140625" style="402" customWidth="1"/>
    <col min="10253" max="10253" width="9.5703125" style="402" customWidth="1"/>
    <col min="10254" max="10254" width="10.85546875" style="402" customWidth="1"/>
    <col min="10255" max="10261" width="10" style="402" customWidth="1"/>
    <col min="10262" max="10262" width="12" style="402" customWidth="1"/>
    <col min="10263" max="10263" width="12.5703125" style="402" customWidth="1"/>
    <col min="10264" max="10264" width="20.140625" style="402" customWidth="1"/>
    <col min="10265" max="10265" width="10.42578125" style="402" bestFit="1" customWidth="1"/>
    <col min="10266" max="10266" width="14.140625" style="402" customWidth="1"/>
    <col min="10267" max="10490" width="9.140625" style="402"/>
    <col min="10491" max="10491" width="5.140625" style="402" customWidth="1"/>
    <col min="10492" max="10492" width="27.140625" style="402" customWidth="1"/>
    <col min="10493" max="10493" width="0" style="402" hidden="1" customWidth="1"/>
    <col min="10494" max="10494" width="5.85546875" style="402" customWidth="1"/>
    <col min="10495" max="10495" width="4.28515625" style="402" customWidth="1"/>
    <col min="10496" max="10496" width="12.5703125" style="402" customWidth="1"/>
    <col min="10497" max="10500" width="0" style="402" hidden="1" customWidth="1"/>
    <col min="10501" max="10501" width="10.140625" style="402" customWidth="1"/>
    <col min="10502" max="10502" width="11.7109375" style="402" customWidth="1"/>
    <col min="10503" max="10503" width="0" style="402" hidden="1" customWidth="1"/>
    <col min="10504" max="10504" width="8.5703125" style="402" customWidth="1"/>
    <col min="10505" max="10505" width="7.85546875" style="402" customWidth="1"/>
    <col min="10506" max="10506" width="9.5703125" style="402" customWidth="1"/>
    <col min="10507" max="10507" width="0" style="402" hidden="1" customWidth="1"/>
    <col min="10508" max="10508" width="8.140625" style="402" customWidth="1"/>
    <col min="10509" max="10509" width="9.5703125" style="402" customWidth="1"/>
    <col min="10510" max="10510" width="10.85546875" style="402" customWidth="1"/>
    <col min="10511" max="10517" width="10" style="402" customWidth="1"/>
    <col min="10518" max="10518" width="12" style="402" customWidth="1"/>
    <col min="10519" max="10519" width="12.5703125" style="402" customWidth="1"/>
    <col min="10520" max="10520" width="20.140625" style="402" customWidth="1"/>
    <col min="10521" max="10521" width="10.42578125" style="402" bestFit="1" customWidth="1"/>
    <col min="10522" max="10522" width="14.140625" style="402" customWidth="1"/>
    <col min="10523" max="10746" width="9.140625" style="402"/>
    <col min="10747" max="10747" width="5.140625" style="402" customWidth="1"/>
    <col min="10748" max="10748" width="27.140625" style="402" customWidth="1"/>
    <col min="10749" max="10749" width="0" style="402" hidden="1" customWidth="1"/>
    <col min="10750" max="10750" width="5.85546875" style="402" customWidth="1"/>
    <col min="10751" max="10751" width="4.28515625" style="402" customWidth="1"/>
    <col min="10752" max="10752" width="12.5703125" style="402" customWidth="1"/>
    <col min="10753" max="10756" width="0" style="402" hidden="1" customWidth="1"/>
    <col min="10757" max="10757" width="10.140625" style="402" customWidth="1"/>
    <col min="10758" max="10758" width="11.7109375" style="402" customWidth="1"/>
    <col min="10759" max="10759" width="0" style="402" hidden="1" customWidth="1"/>
    <col min="10760" max="10760" width="8.5703125" style="402" customWidth="1"/>
    <col min="10761" max="10761" width="7.85546875" style="402" customWidth="1"/>
    <col min="10762" max="10762" width="9.5703125" style="402" customWidth="1"/>
    <col min="10763" max="10763" width="0" style="402" hidden="1" customWidth="1"/>
    <col min="10764" max="10764" width="8.140625" style="402" customWidth="1"/>
    <col min="10765" max="10765" width="9.5703125" style="402" customWidth="1"/>
    <col min="10766" max="10766" width="10.85546875" style="402" customWidth="1"/>
    <col min="10767" max="10773" width="10" style="402" customWidth="1"/>
    <col min="10774" max="10774" width="12" style="402" customWidth="1"/>
    <col min="10775" max="10775" width="12.5703125" style="402" customWidth="1"/>
    <col min="10776" max="10776" width="20.140625" style="402" customWidth="1"/>
    <col min="10777" max="10777" width="10.42578125" style="402" bestFit="1" customWidth="1"/>
    <col min="10778" max="10778" width="14.140625" style="402" customWidth="1"/>
    <col min="10779" max="11002" width="9.140625" style="402"/>
    <col min="11003" max="11003" width="5.140625" style="402" customWidth="1"/>
    <col min="11004" max="11004" width="27.140625" style="402" customWidth="1"/>
    <col min="11005" max="11005" width="0" style="402" hidden="1" customWidth="1"/>
    <col min="11006" max="11006" width="5.85546875" style="402" customWidth="1"/>
    <col min="11007" max="11007" width="4.28515625" style="402" customWidth="1"/>
    <col min="11008" max="11008" width="12.5703125" style="402" customWidth="1"/>
    <col min="11009" max="11012" width="0" style="402" hidden="1" customWidth="1"/>
    <col min="11013" max="11013" width="10.140625" style="402" customWidth="1"/>
    <col min="11014" max="11014" width="11.7109375" style="402" customWidth="1"/>
    <col min="11015" max="11015" width="0" style="402" hidden="1" customWidth="1"/>
    <col min="11016" max="11016" width="8.5703125" style="402" customWidth="1"/>
    <col min="11017" max="11017" width="7.85546875" style="402" customWidth="1"/>
    <col min="11018" max="11018" width="9.5703125" style="402" customWidth="1"/>
    <col min="11019" max="11019" width="0" style="402" hidden="1" customWidth="1"/>
    <col min="11020" max="11020" width="8.140625" style="402" customWidth="1"/>
    <col min="11021" max="11021" width="9.5703125" style="402" customWidth="1"/>
    <col min="11022" max="11022" width="10.85546875" style="402" customWidth="1"/>
    <col min="11023" max="11029" width="10" style="402" customWidth="1"/>
    <col min="11030" max="11030" width="12" style="402" customWidth="1"/>
    <col min="11031" max="11031" width="12.5703125" style="402" customWidth="1"/>
    <col min="11032" max="11032" width="20.140625" style="402" customWidth="1"/>
    <col min="11033" max="11033" width="10.42578125" style="402" bestFit="1" customWidth="1"/>
    <col min="11034" max="11034" width="14.140625" style="402" customWidth="1"/>
    <col min="11035" max="11258" width="9.140625" style="402"/>
    <col min="11259" max="11259" width="5.140625" style="402" customWidth="1"/>
    <col min="11260" max="11260" width="27.140625" style="402" customWidth="1"/>
    <col min="11261" max="11261" width="0" style="402" hidden="1" customWidth="1"/>
    <col min="11262" max="11262" width="5.85546875" style="402" customWidth="1"/>
    <col min="11263" max="11263" width="4.28515625" style="402" customWidth="1"/>
    <col min="11264" max="11264" width="12.5703125" style="402" customWidth="1"/>
    <col min="11265" max="11268" width="0" style="402" hidden="1" customWidth="1"/>
    <col min="11269" max="11269" width="10.140625" style="402" customWidth="1"/>
    <col min="11270" max="11270" width="11.7109375" style="402" customWidth="1"/>
    <col min="11271" max="11271" width="0" style="402" hidden="1" customWidth="1"/>
    <col min="11272" max="11272" width="8.5703125" style="402" customWidth="1"/>
    <col min="11273" max="11273" width="7.85546875" style="402" customWidth="1"/>
    <col min="11274" max="11274" width="9.5703125" style="402" customWidth="1"/>
    <col min="11275" max="11275" width="0" style="402" hidden="1" customWidth="1"/>
    <col min="11276" max="11276" width="8.140625" style="402" customWidth="1"/>
    <col min="11277" max="11277" width="9.5703125" style="402" customWidth="1"/>
    <col min="11278" max="11278" width="10.85546875" style="402" customWidth="1"/>
    <col min="11279" max="11285" width="10" style="402" customWidth="1"/>
    <col min="11286" max="11286" width="12" style="402" customWidth="1"/>
    <col min="11287" max="11287" width="12.5703125" style="402" customWidth="1"/>
    <col min="11288" max="11288" width="20.140625" style="402" customWidth="1"/>
    <col min="11289" max="11289" width="10.42578125" style="402" bestFit="1" customWidth="1"/>
    <col min="11290" max="11290" width="14.140625" style="402" customWidth="1"/>
    <col min="11291" max="11514" width="9.140625" style="402"/>
    <col min="11515" max="11515" width="5.140625" style="402" customWidth="1"/>
    <col min="11516" max="11516" width="27.140625" style="402" customWidth="1"/>
    <col min="11517" max="11517" width="0" style="402" hidden="1" customWidth="1"/>
    <col min="11518" max="11518" width="5.85546875" style="402" customWidth="1"/>
    <col min="11519" max="11519" width="4.28515625" style="402" customWidth="1"/>
    <col min="11520" max="11520" width="12.5703125" style="402" customWidth="1"/>
    <col min="11521" max="11524" width="0" style="402" hidden="1" customWidth="1"/>
    <col min="11525" max="11525" width="10.140625" style="402" customWidth="1"/>
    <col min="11526" max="11526" width="11.7109375" style="402" customWidth="1"/>
    <col min="11527" max="11527" width="0" style="402" hidden="1" customWidth="1"/>
    <col min="11528" max="11528" width="8.5703125" style="402" customWidth="1"/>
    <col min="11529" max="11529" width="7.85546875" style="402" customWidth="1"/>
    <col min="11530" max="11530" width="9.5703125" style="402" customWidth="1"/>
    <col min="11531" max="11531" width="0" style="402" hidden="1" customWidth="1"/>
    <col min="11532" max="11532" width="8.140625" style="402" customWidth="1"/>
    <col min="11533" max="11533" width="9.5703125" style="402" customWidth="1"/>
    <col min="11534" max="11534" width="10.85546875" style="402" customWidth="1"/>
    <col min="11535" max="11541" width="10" style="402" customWidth="1"/>
    <col min="11542" max="11542" width="12" style="402" customWidth="1"/>
    <col min="11543" max="11543" width="12.5703125" style="402" customWidth="1"/>
    <col min="11544" max="11544" width="20.140625" style="402" customWidth="1"/>
    <col min="11545" max="11545" width="10.42578125" style="402" bestFit="1" customWidth="1"/>
    <col min="11546" max="11546" width="14.140625" style="402" customWidth="1"/>
    <col min="11547" max="11770" width="9.140625" style="402"/>
    <col min="11771" max="11771" width="5.140625" style="402" customWidth="1"/>
    <col min="11772" max="11772" width="27.140625" style="402" customWidth="1"/>
    <col min="11773" max="11773" width="0" style="402" hidden="1" customWidth="1"/>
    <col min="11774" max="11774" width="5.85546875" style="402" customWidth="1"/>
    <col min="11775" max="11775" width="4.28515625" style="402" customWidth="1"/>
    <col min="11776" max="11776" width="12.5703125" style="402" customWidth="1"/>
    <col min="11777" max="11780" width="0" style="402" hidden="1" customWidth="1"/>
    <col min="11781" max="11781" width="10.140625" style="402" customWidth="1"/>
    <col min="11782" max="11782" width="11.7109375" style="402" customWidth="1"/>
    <col min="11783" max="11783" width="0" style="402" hidden="1" customWidth="1"/>
    <col min="11784" max="11784" width="8.5703125" style="402" customWidth="1"/>
    <col min="11785" max="11785" width="7.85546875" style="402" customWidth="1"/>
    <col min="11786" max="11786" width="9.5703125" style="402" customWidth="1"/>
    <col min="11787" max="11787" width="0" style="402" hidden="1" customWidth="1"/>
    <col min="11788" max="11788" width="8.140625" style="402" customWidth="1"/>
    <col min="11789" max="11789" width="9.5703125" style="402" customWidth="1"/>
    <col min="11790" max="11790" width="10.85546875" style="402" customWidth="1"/>
    <col min="11791" max="11797" width="10" style="402" customWidth="1"/>
    <col min="11798" max="11798" width="12" style="402" customWidth="1"/>
    <col min="11799" max="11799" width="12.5703125" style="402" customWidth="1"/>
    <col min="11800" max="11800" width="20.140625" style="402" customWidth="1"/>
    <col min="11801" max="11801" width="10.42578125" style="402" bestFit="1" customWidth="1"/>
    <col min="11802" max="11802" width="14.140625" style="402" customWidth="1"/>
    <col min="11803" max="12026" width="9.140625" style="402"/>
    <col min="12027" max="12027" width="5.140625" style="402" customWidth="1"/>
    <col min="12028" max="12028" width="27.140625" style="402" customWidth="1"/>
    <col min="12029" max="12029" width="0" style="402" hidden="1" customWidth="1"/>
    <col min="12030" max="12030" width="5.85546875" style="402" customWidth="1"/>
    <col min="12031" max="12031" width="4.28515625" style="402" customWidth="1"/>
    <col min="12032" max="12032" width="12.5703125" style="402" customWidth="1"/>
    <col min="12033" max="12036" width="0" style="402" hidden="1" customWidth="1"/>
    <col min="12037" max="12037" width="10.140625" style="402" customWidth="1"/>
    <col min="12038" max="12038" width="11.7109375" style="402" customWidth="1"/>
    <col min="12039" max="12039" width="0" style="402" hidden="1" customWidth="1"/>
    <col min="12040" max="12040" width="8.5703125" style="402" customWidth="1"/>
    <col min="12041" max="12041" width="7.85546875" style="402" customWidth="1"/>
    <col min="12042" max="12042" width="9.5703125" style="402" customWidth="1"/>
    <col min="12043" max="12043" width="0" style="402" hidden="1" customWidth="1"/>
    <col min="12044" max="12044" width="8.140625" style="402" customWidth="1"/>
    <col min="12045" max="12045" width="9.5703125" style="402" customWidth="1"/>
    <col min="12046" max="12046" width="10.85546875" style="402" customWidth="1"/>
    <col min="12047" max="12053" width="10" style="402" customWidth="1"/>
    <col min="12054" max="12054" width="12" style="402" customWidth="1"/>
    <col min="12055" max="12055" width="12.5703125" style="402" customWidth="1"/>
    <col min="12056" max="12056" width="20.140625" style="402" customWidth="1"/>
    <col min="12057" max="12057" width="10.42578125" style="402" bestFit="1" customWidth="1"/>
    <col min="12058" max="12058" width="14.140625" style="402" customWidth="1"/>
    <col min="12059" max="12282" width="9.140625" style="402"/>
    <col min="12283" max="12283" width="5.140625" style="402" customWidth="1"/>
    <col min="12284" max="12284" width="27.140625" style="402" customWidth="1"/>
    <col min="12285" max="12285" width="0" style="402" hidden="1" customWidth="1"/>
    <col min="12286" max="12286" width="5.85546875" style="402" customWidth="1"/>
    <col min="12287" max="12287" width="4.28515625" style="402" customWidth="1"/>
    <col min="12288" max="12288" width="12.5703125" style="402" customWidth="1"/>
    <col min="12289" max="12292" width="0" style="402" hidden="1" customWidth="1"/>
    <col min="12293" max="12293" width="10.140625" style="402" customWidth="1"/>
    <col min="12294" max="12294" width="11.7109375" style="402" customWidth="1"/>
    <col min="12295" max="12295" width="0" style="402" hidden="1" customWidth="1"/>
    <col min="12296" max="12296" width="8.5703125" style="402" customWidth="1"/>
    <col min="12297" max="12297" width="7.85546875" style="402" customWidth="1"/>
    <col min="12298" max="12298" width="9.5703125" style="402" customWidth="1"/>
    <col min="12299" max="12299" width="0" style="402" hidden="1" customWidth="1"/>
    <col min="12300" max="12300" width="8.140625" style="402" customWidth="1"/>
    <col min="12301" max="12301" width="9.5703125" style="402" customWidth="1"/>
    <col min="12302" max="12302" width="10.85546875" style="402" customWidth="1"/>
    <col min="12303" max="12309" width="10" style="402" customWidth="1"/>
    <col min="12310" max="12310" width="12" style="402" customWidth="1"/>
    <col min="12311" max="12311" width="12.5703125" style="402" customWidth="1"/>
    <col min="12312" max="12312" width="20.140625" style="402" customWidth="1"/>
    <col min="12313" max="12313" width="10.42578125" style="402" bestFit="1" customWidth="1"/>
    <col min="12314" max="12314" width="14.140625" style="402" customWidth="1"/>
    <col min="12315" max="12538" width="9.140625" style="402"/>
    <col min="12539" max="12539" width="5.140625" style="402" customWidth="1"/>
    <col min="12540" max="12540" width="27.140625" style="402" customWidth="1"/>
    <col min="12541" max="12541" width="0" style="402" hidden="1" customWidth="1"/>
    <col min="12542" max="12542" width="5.85546875" style="402" customWidth="1"/>
    <col min="12543" max="12543" width="4.28515625" style="402" customWidth="1"/>
    <col min="12544" max="12544" width="12.5703125" style="402" customWidth="1"/>
    <col min="12545" max="12548" width="0" style="402" hidden="1" customWidth="1"/>
    <col min="12549" max="12549" width="10.140625" style="402" customWidth="1"/>
    <col min="12550" max="12550" width="11.7109375" style="402" customWidth="1"/>
    <col min="12551" max="12551" width="0" style="402" hidden="1" customWidth="1"/>
    <col min="12552" max="12552" width="8.5703125" style="402" customWidth="1"/>
    <col min="12553" max="12553" width="7.85546875" style="402" customWidth="1"/>
    <col min="12554" max="12554" width="9.5703125" style="402" customWidth="1"/>
    <col min="12555" max="12555" width="0" style="402" hidden="1" customWidth="1"/>
    <col min="12556" max="12556" width="8.140625" style="402" customWidth="1"/>
    <col min="12557" max="12557" width="9.5703125" style="402" customWidth="1"/>
    <col min="12558" max="12558" width="10.85546875" style="402" customWidth="1"/>
    <col min="12559" max="12565" width="10" style="402" customWidth="1"/>
    <col min="12566" max="12566" width="12" style="402" customWidth="1"/>
    <col min="12567" max="12567" width="12.5703125" style="402" customWidth="1"/>
    <col min="12568" max="12568" width="20.140625" style="402" customWidth="1"/>
    <col min="12569" max="12569" width="10.42578125" style="402" bestFit="1" customWidth="1"/>
    <col min="12570" max="12570" width="14.140625" style="402" customWidth="1"/>
    <col min="12571" max="12794" width="9.140625" style="402"/>
    <col min="12795" max="12795" width="5.140625" style="402" customWidth="1"/>
    <col min="12796" max="12796" width="27.140625" style="402" customWidth="1"/>
    <col min="12797" max="12797" width="0" style="402" hidden="1" customWidth="1"/>
    <col min="12798" max="12798" width="5.85546875" style="402" customWidth="1"/>
    <col min="12799" max="12799" width="4.28515625" style="402" customWidth="1"/>
    <col min="12800" max="12800" width="12.5703125" style="402" customWidth="1"/>
    <col min="12801" max="12804" width="0" style="402" hidden="1" customWidth="1"/>
    <col min="12805" max="12805" width="10.140625" style="402" customWidth="1"/>
    <col min="12806" max="12806" width="11.7109375" style="402" customWidth="1"/>
    <col min="12807" max="12807" width="0" style="402" hidden="1" customWidth="1"/>
    <col min="12808" max="12808" width="8.5703125" style="402" customWidth="1"/>
    <col min="12809" max="12809" width="7.85546875" style="402" customWidth="1"/>
    <col min="12810" max="12810" width="9.5703125" style="402" customWidth="1"/>
    <col min="12811" max="12811" width="0" style="402" hidden="1" customWidth="1"/>
    <col min="12812" max="12812" width="8.140625" style="402" customWidth="1"/>
    <col min="12813" max="12813" width="9.5703125" style="402" customWidth="1"/>
    <col min="12814" max="12814" width="10.85546875" style="402" customWidth="1"/>
    <col min="12815" max="12821" width="10" style="402" customWidth="1"/>
    <col min="12822" max="12822" width="12" style="402" customWidth="1"/>
    <col min="12823" max="12823" width="12.5703125" style="402" customWidth="1"/>
    <col min="12824" max="12824" width="20.140625" style="402" customWidth="1"/>
    <col min="12825" max="12825" width="10.42578125" style="402" bestFit="1" customWidth="1"/>
    <col min="12826" max="12826" width="14.140625" style="402" customWidth="1"/>
    <col min="12827" max="13050" width="9.140625" style="402"/>
    <col min="13051" max="13051" width="5.140625" style="402" customWidth="1"/>
    <col min="13052" max="13052" width="27.140625" style="402" customWidth="1"/>
    <col min="13053" max="13053" width="0" style="402" hidden="1" customWidth="1"/>
    <col min="13054" max="13054" width="5.85546875" style="402" customWidth="1"/>
    <col min="13055" max="13055" width="4.28515625" style="402" customWidth="1"/>
    <col min="13056" max="13056" width="12.5703125" style="402" customWidth="1"/>
    <col min="13057" max="13060" width="0" style="402" hidden="1" customWidth="1"/>
    <col min="13061" max="13061" width="10.140625" style="402" customWidth="1"/>
    <col min="13062" max="13062" width="11.7109375" style="402" customWidth="1"/>
    <col min="13063" max="13063" width="0" style="402" hidden="1" customWidth="1"/>
    <col min="13064" max="13064" width="8.5703125" style="402" customWidth="1"/>
    <col min="13065" max="13065" width="7.85546875" style="402" customWidth="1"/>
    <col min="13066" max="13066" width="9.5703125" style="402" customWidth="1"/>
    <col min="13067" max="13067" width="0" style="402" hidden="1" customWidth="1"/>
    <col min="13068" max="13068" width="8.140625" style="402" customWidth="1"/>
    <col min="13069" max="13069" width="9.5703125" style="402" customWidth="1"/>
    <col min="13070" max="13070" width="10.85546875" style="402" customWidth="1"/>
    <col min="13071" max="13077" width="10" style="402" customWidth="1"/>
    <col min="13078" max="13078" width="12" style="402" customWidth="1"/>
    <col min="13079" max="13079" width="12.5703125" style="402" customWidth="1"/>
    <col min="13080" max="13080" width="20.140625" style="402" customWidth="1"/>
    <col min="13081" max="13081" width="10.42578125" style="402" bestFit="1" customWidth="1"/>
    <col min="13082" max="13082" width="14.140625" style="402" customWidth="1"/>
    <col min="13083" max="13306" width="9.140625" style="402"/>
    <col min="13307" max="13307" width="5.140625" style="402" customWidth="1"/>
    <col min="13308" max="13308" width="27.140625" style="402" customWidth="1"/>
    <col min="13309" max="13309" width="0" style="402" hidden="1" customWidth="1"/>
    <col min="13310" max="13310" width="5.85546875" style="402" customWidth="1"/>
    <col min="13311" max="13311" width="4.28515625" style="402" customWidth="1"/>
    <col min="13312" max="13312" width="12.5703125" style="402" customWidth="1"/>
    <col min="13313" max="13316" width="0" style="402" hidden="1" customWidth="1"/>
    <col min="13317" max="13317" width="10.140625" style="402" customWidth="1"/>
    <col min="13318" max="13318" width="11.7109375" style="402" customWidth="1"/>
    <col min="13319" max="13319" width="0" style="402" hidden="1" customWidth="1"/>
    <col min="13320" max="13320" width="8.5703125" style="402" customWidth="1"/>
    <col min="13321" max="13321" width="7.85546875" style="402" customWidth="1"/>
    <col min="13322" max="13322" width="9.5703125" style="402" customWidth="1"/>
    <col min="13323" max="13323" width="0" style="402" hidden="1" customWidth="1"/>
    <col min="13324" max="13324" width="8.140625" style="402" customWidth="1"/>
    <col min="13325" max="13325" width="9.5703125" style="402" customWidth="1"/>
    <col min="13326" max="13326" width="10.85546875" style="402" customWidth="1"/>
    <col min="13327" max="13333" width="10" style="402" customWidth="1"/>
    <col min="13334" max="13334" width="12" style="402" customWidth="1"/>
    <col min="13335" max="13335" width="12.5703125" style="402" customWidth="1"/>
    <col min="13336" max="13336" width="20.140625" style="402" customWidth="1"/>
    <col min="13337" max="13337" width="10.42578125" style="402" bestFit="1" customWidth="1"/>
    <col min="13338" max="13338" width="14.140625" style="402" customWidth="1"/>
    <col min="13339" max="13562" width="9.140625" style="402"/>
    <col min="13563" max="13563" width="5.140625" style="402" customWidth="1"/>
    <col min="13564" max="13564" width="27.140625" style="402" customWidth="1"/>
    <col min="13565" max="13565" width="0" style="402" hidden="1" customWidth="1"/>
    <col min="13566" max="13566" width="5.85546875" style="402" customWidth="1"/>
    <col min="13567" max="13567" width="4.28515625" style="402" customWidth="1"/>
    <col min="13568" max="13568" width="12.5703125" style="402" customWidth="1"/>
    <col min="13569" max="13572" width="0" style="402" hidden="1" customWidth="1"/>
    <col min="13573" max="13573" width="10.140625" style="402" customWidth="1"/>
    <col min="13574" max="13574" width="11.7109375" style="402" customWidth="1"/>
    <col min="13575" max="13575" width="0" style="402" hidden="1" customWidth="1"/>
    <col min="13576" max="13576" width="8.5703125" style="402" customWidth="1"/>
    <col min="13577" max="13577" width="7.85546875" style="402" customWidth="1"/>
    <col min="13578" max="13578" width="9.5703125" style="402" customWidth="1"/>
    <col min="13579" max="13579" width="0" style="402" hidden="1" customWidth="1"/>
    <col min="13580" max="13580" width="8.140625" style="402" customWidth="1"/>
    <col min="13581" max="13581" width="9.5703125" style="402" customWidth="1"/>
    <col min="13582" max="13582" width="10.85546875" style="402" customWidth="1"/>
    <col min="13583" max="13589" width="10" style="402" customWidth="1"/>
    <col min="13590" max="13590" width="12" style="402" customWidth="1"/>
    <col min="13591" max="13591" width="12.5703125" style="402" customWidth="1"/>
    <col min="13592" max="13592" width="20.140625" style="402" customWidth="1"/>
    <col min="13593" max="13593" width="10.42578125" style="402" bestFit="1" customWidth="1"/>
    <col min="13594" max="13594" width="14.140625" style="402" customWidth="1"/>
    <col min="13595" max="13818" width="9.140625" style="402"/>
    <col min="13819" max="13819" width="5.140625" style="402" customWidth="1"/>
    <col min="13820" max="13820" width="27.140625" style="402" customWidth="1"/>
    <col min="13821" max="13821" width="0" style="402" hidden="1" customWidth="1"/>
    <col min="13822" max="13822" width="5.85546875" style="402" customWidth="1"/>
    <col min="13823" max="13823" width="4.28515625" style="402" customWidth="1"/>
    <col min="13824" max="13824" width="12.5703125" style="402" customWidth="1"/>
    <col min="13825" max="13828" width="0" style="402" hidden="1" customWidth="1"/>
    <col min="13829" max="13829" width="10.140625" style="402" customWidth="1"/>
    <col min="13830" max="13830" width="11.7109375" style="402" customWidth="1"/>
    <col min="13831" max="13831" width="0" style="402" hidden="1" customWidth="1"/>
    <col min="13832" max="13832" width="8.5703125" style="402" customWidth="1"/>
    <col min="13833" max="13833" width="7.85546875" style="402" customWidth="1"/>
    <col min="13834" max="13834" width="9.5703125" style="402" customWidth="1"/>
    <col min="13835" max="13835" width="0" style="402" hidden="1" customWidth="1"/>
    <col min="13836" max="13836" width="8.140625" style="402" customWidth="1"/>
    <col min="13837" max="13837" width="9.5703125" style="402" customWidth="1"/>
    <col min="13838" max="13838" width="10.85546875" style="402" customWidth="1"/>
    <col min="13839" max="13845" width="10" style="402" customWidth="1"/>
    <col min="13846" max="13846" width="12" style="402" customWidth="1"/>
    <col min="13847" max="13847" width="12.5703125" style="402" customWidth="1"/>
    <col min="13848" max="13848" width="20.140625" style="402" customWidth="1"/>
    <col min="13849" max="13849" width="10.42578125" style="402" bestFit="1" customWidth="1"/>
    <col min="13850" max="13850" width="14.140625" style="402" customWidth="1"/>
    <col min="13851" max="14074" width="9.140625" style="402"/>
    <col min="14075" max="14075" width="5.140625" style="402" customWidth="1"/>
    <col min="14076" max="14076" width="27.140625" style="402" customWidth="1"/>
    <col min="14077" max="14077" width="0" style="402" hidden="1" customWidth="1"/>
    <col min="14078" max="14078" width="5.85546875" style="402" customWidth="1"/>
    <col min="14079" max="14079" width="4.28515625" style="402" customWidth="1"/>
    <col min="14080" max="14080" width="12.5703125" style="402" customWidth="1"/>
    <col min="14081" max="14084" width="0" style="402" hidden="1" customWidth="1"/>
    <col min="14085" max="14085" width="10.140625" style="402" customWidth="1"/>
    <col min="14086" max="14086" width="11.7109375" style="402" customWidth="1"/>
    <col min="14087" max="14087" width="0" style="402" hidden="1" customWidth="1"/>
    <col min="14088" max="14088" width="8.5703125" style="402" customWidth="1"/>
    <col min="14089" max="14089" width="7.85546875" style="402" customWidth="1"/>
    <col min="14090" max="14090" width="9.5703125" style="402" customWidth="1"/>
    <col min="14091" max="14091" width="0" style="402" hidden="1" customWidth="1"/>
    <col min="14092" max="14092" width="8.140625" style="402" customWidth="1"/>
    <col min="14093" max="14093" width="9.5703125" style="402" customWidth="1"/>
    <col min="14094" max="14094" width="10.85546875" style="402" customWidth="1"/>
    <col min="14095" max="14101" width="10" style="402" customWidth="1"/>
    <col min="14102" max="14102" width="12" style="402" customWidth="1"/>
    <col min="14103" max="14103" width="12.5703125" style="402" customWidth="1"/>
    <col min="14104" max="14104" width="20.140625" style="402" customWidth="1"/>
    <col min="14105" max="14105" width="10.42578125" style="402" bestFit="1" customWidth="1"/>
    <col min="14106" max="14106" width="14.140625" style="402" customWidth="1"/>
    <col min="14107" max="14330" width="9.140625" style="402"/>
    <col min="14331" max="14331" width="5.140625" style="402" customWidth="1"/>
    <col min="14332" max="14332" width="27.140625" style="402" customWidth="1"/>
    <col min="14333" max="14333" width="0" style="402" hidden="1" customWidth="1"/>
    <col min="14334" max="14334" width="5.85546875" style="402" customWidth="1"/>
    <col min="14335" max="14335" width="4.28515625" style="402" customWidth="1"/>
    <col min="14336" max="14336" width="12.5703125" style="402" customWidth="1"/>
    <col min="14337" max="14340" width="0" style="402" hidden="1" customWidth="1"/>
    <col min="14341" max="14341" width="10.140625" style="402" customWidth="1"/>
    <col min="14342" max="14342" width="11.7109375" style="402" customWidth="1"/>
    <col min="14343" max="14343" width="0" style="402" hidden="1" customWidth="1"/>
    <col min="14344" max="14344" width="8.5703125" style="402" customWidth="1"/>
    <col min="14345" max="14345" width="7.85546875" style="402" customWidth="1"/>
    <col min="14346" max="14346" width="9.5703125" style="402" customWidth="1"/>
    <col min="14347" max="14347" width="0" style="402" hidden="1" customWidth="1"/>
    <col min="14348" max="14348" width="8.140625" style="402" customWidth="1"/>
    <col min="14349" max="14349" width="9.5703125" style="402" customWidth="1"/>
    <col min="14350" max="14350" width="10.85546875" style="402" customWidth="1"/>
    <col min="14351" max="14357" width="10" style="402" customWidth="1"/>
    <col min="14358" max="14358" width="12" style="402" customWidth="1"/>
    <col min="14359" max="14359" width="12.5703125" style="402" customWidth="1"/>
    <col min="14360" max="14360" width="20.140625" style="402" customWidth="1"/>
    <col min="14361" max="14361" width="10.42578125" style="402" bestFit="1" customWidth="1"/>
    <col min="14362" max="14362" width="14.140625" style="402" customWidth="1"/>
    <col min="14363" max="14586" width="9.140625" style="402"/>
    <col min="14587" max="14587" width="5.140625" style="402" customWidth="1"/>
    <col min="14588" max="14588" width="27.140625" style="402" customWidth="1"/>
    <col min="14589" max="14589" width="0" style="402" hidden="1" customWidth="1"/>
    <col min="14590" max="14590" width="5.85546875" style="402" customWidth="1"/>
    <col min="14591" max="14591" width="4.28515625" style="402" customWidth="1"/>
    <col min="14592" max="14592" width="12.5703125" style="402" customWidth="1"/>
    <col min="14593" max="14596" width="0" style="402" hidden="1" customWidth="1"/>
    <col min="14597" max="14597" width="10.140625" style="402" customWidth="1"/>
    <col min="14598" max="14598" width="11.7109375" style="402" customWidth="1"/>
    <col min="14599" max="14599" width="0" style="402" hidden="1" customWidth="1"/>
    <col min="14600" max="14600" width="8.5703125" style="402" customWidth="1"/>
    <col min="14601" max="14601" width="7.85546875" style="402" customWidth="1"/>
    <col min="14602" max="14602" width="9.5703125" style="402" customWidth="1"/>
    <col min="14603" max="14603" width="0" style="402" hidden="1" customWidth="1"/>
    <col min="14604" max="14604" width="8.140625" style="402" customWidth="1"/>
    <col min="14605" max="14605" width="9.5703125" style="402" customWidth="1"/>
    <col min="14606" max="14606" width="10.85546875" style="402" customWidth="1"/>
    <col min="14607" max="14613" width="10" style="402" customWidth="1"/>
    <col min="14614" max="14614" width="12" style="402" customWidth="1"/>
    <col min="14615" max="14615" width="12.5703125" style="402" customWidth="1"/>
    <col min="14616" max="14616" width="20.140625" style="402" customWidth="1"/>
    <col min="14617" max="14617" width="10.42578125" style="402" bestFit="1" customWidth="1"/>
    <col min="14618" max="14618" width="14.140625" style="402" customWidth="1"/>
    <col min="14619" max="14842" width="9.140625" style="402"/>
    <col min="14843" max="14843" width="5.140625" style="402" customWidth="1"/>
    <col min="14844" max="14844" width="27.140625" style="402" customWidth="1"/>
    <col min="14845" max="14845" width="0" style="402" hidden="1" customWidth="1"/>
    <col min="14846" max="14846" width="5.85546875" style="402" customWidth="1"/>
    <col min="14847" max="14847" width="4.28515625" style="402" customWidth="1"/>
    <col min="14848" max="14848" width="12.5703125" style="402" customWidth="1"/>
    <col min="14849" max="14852" width="0" style="402" hidden="1" customWidth="1"/>
    <col min="14853" max="14853" width="10.140625" style="402" customWidth="1"/>
    <col min="14854" max="14854" width="11.7109375" style="402" customWidth="1"/>
    <col min="14855" max="14855" width="0" style="402" hidden="1" customWidth="1"/>
    <col min="14856" max="14856" width="8.5703125" style="402" customWidth="1"/>
    <col min="14857" max="14857" width="7.85546875" style="402" customWidth="1"/>
    <col min="14858" max="14858" width="9.5703125" style="402" customWidth="1"/>
    <col min="14859" max="14859" width="0" style="402" hidden="1" customWidth="1"/>
    <col min="14860" max="14860" width="8.140625" style="402" customWidth="1"/>
    <col min="14861" max="14861" width="9.5703125" style="402" customWidth="1"/>
    <col min="14862" max="14862" width="10.85546875" style="402" customWidth="1"/>
    <col min="14863" max="14869" width="10" style="402" customWidth="1"/>
    <col min="14870" max="14870" width="12" style="402" customWidth="1"/>
    <col min="14871" max="14871" width="12.5703125" style="402" customWidth="1"/>
    <col min="14872" max="14872" width="20.140625" style="402" customWidth="1"/>
    <col min="14873" max="14873" width="10.42578125" style="402" bestFit="1" customWidth="1"/>
    <col min="14874" max="14874" width="14.140625" style="402" customWidth="1"/>
    <col min="14875" max="15098" width="9.140625" style="402"/>
    <col min="15099" max="15099" width="5.140625" style="402" customWidth="1"/>
    <col min="15100" max="15100" width="27.140625" style="402" customWidth="1"/>
    <col min="15101" max="15101" width="0" style="402" hidden="1" customWidth="1"/>
    <col min="15102" max="15102" width="5.85546875" style="402" customWidth="1"/>
    <col min="15103" max="15103" width="4.28515625" style="402" customWidth="1"/>
    <col min="15104" max="15104" width="12.5703125" style="402" customWidth="1"/>
    <col min="15105" max="15108" width="0" style="402" hidden="1" customWidth="1"/>
    <col min="15109" max="15109" width="10.140625" style="402" customWidth="1"/>
    <col min="15110" max="15110" width="11.7109375" style="402" customWidth="1"/>
    <col min="15111" max="15111" width="0" style="402" hidden="1" customWidth="1"/>
    <col min="15112" max="15112" width="8.5703125" style="402" customWidth="1"/>
    <col min="15113" max="15113" width="7.85546875" style="402" customWidth="1"/>
    <col min="15114" max="15114" width="9.5703125" style="402" customWidth="1"/>
    <col min="15115" max="15115" width="0" style="402" hidden="1" customWidth="1"/>
    <col min="15116" max="15116" width="8.140625" style="402" customWidth="1"/>
    <col min="15117" max="15117" width="9.5703125" style="402" customWidth="1"/>
    <col min="15118" max="15118" width="10.85546875" style="402" customWidth="1"/>
    <col min="15119" max="15125" width="10" style="402" customWidth="1"/>
    <col min="15126" max="15126" width="12" style="402" customWidth="1"/>
    <col min="15127" max="15127" width="12.5703125" style="402" customWidth="1"/>
    <col min="15128" max="15128" width="20.140625" style="402" customWidth="1"/>
    <col min="15129" max="15129" width="10.42578125" style="402" bestFit="1" customWidth="1"/>
    <col min="15130" max="15130" width="14.140625" style="402" customWidth="1"/>
    <col min="15131" max="15354" width="9.140625" style="402"/>
    <col min="15355" max="15355" width="5.140625" style="402" customWidth="1"/>
    <col min="15356" max="15356" width="27.140625" style="402" customWidth="1"/>
    <col min="15357" max="15357" width="0" style="402" hidden="1" customWidth="1"/>
    <col min="15358" max="15358" width="5.85546875" style="402" customWidth="1"/>
    <col min="15359" max="15359" width="4.28515625" style="402" customWidth="1"/>
    <col min="15360" max="15360" width="12.5703125" style="402" customWidth="1"/>
    <col min="15361" max="15364" width="0" style="402" hidden="1" customWidth="1"/>
    <col min="15365" max="15365" width="10.140625" style="402" customWidth="1"/>
    <col min="15366" max="15366" width="11.7109375" style="402" customWidth="1"/>
    <col min="15367" max="15367" width="0" style="402" hidden="1" customWidth="1"/>
    <col min="15368" max="15368" width="8.5703125" style="402" customWidth="1"/>
    <col min="15369" max="15369" width="7.85546875" style="402" customWidth="1"/>
    <col min="15370" max="15370" width="9.5703125" style="402" customWidth="1"/>
    <col min="15371" max="15371" width="0" style="402" hidden="1" customWidth="1"/>
    <col min="15372" max="15372" width="8.140625" style="402" customWidth="1"/>
    <col min="15373" max="15373" width="9.5703125" style="402" customWidth="1"/>
    <col min="15374" max="15374" width="10.85546875" style="402" customWidth="1"/>
    <col min="15375" max="15381" width="10" style="402" customWidth="1"/>
    <col min="15382" max="15382" width="12" style="402" customWidth="1"/>
    <col min="15383" max="15383" width="12.5703125" style="402" customWidth="1"/>
    <col min="15384" max="15384" width="20.140625" style="402" customWidth="1"/>
    <col min="15385" max="15385" width="10.42578125" style="402" bestFit="1" customWidth="1"/>
    <col min="15386" max="15386" width="14.140625" style="402" customWidth="1"/>
    <col min="15387" max="15610" width="9.140625" style="402"/>
    <col min="15611" max="15611" width="5.140625" style="402" customWidth="1"/>
    <col min="15612" max="15612" width="27.140625" style="402" customWidth="1"/>
    <col min="15613" max="15613" width="0" style="402" hidden="1" customWidth="1"/>
    <col min="15614" max="15614" width="5.85546875" style="402" customWidth="1"/>
    <col min="15615" max="15615" width="4.28515625" style="402" customWidth="1"/>
    <col min="15616" max="15616" width="12.5703125" style="402" customWidth="1"/>
    <col min="15617" max="15620" width="0" style="402" hidden="1" customWidth="1"/>
    <col min="15621" max="15621" width="10.140625" style="402" customWidth="1"/>
    <col min="15622" max="15622" width="11.7109375" style="402" customWidth="1"/>
    <col min="15623" max="15623" width="0" style="402" hidden="1" customWidth="1"/>
    <col min="15624" max="15624" width="8.5703125" style="402" customWidth="1"/>
    <col min="15625" max="15625" width="7.85546875" style="402" customWidth="1"/>
    <col min="15626" max="15626" width="9.5703125" style="402" customWidth="1"/>
    <col min="15627" max="15627" width="0" style="402" hidden="1" customWidth="1"/>
    <col min="15628" max="15628" width="8.140625" style="402" customWidth="1"/>
    <col min="15629" max="15629" width="9.5703125" style="402" customWidth="1"/>
    <col min="15630" max="15630" width="10.85546875" style="402" customWidth="1"/>
    <col min="15631" max="15637" width="10" style="402" customWidth="1"/>
    <col min="15638" max="15638" width="12" style="402" customWidth="1"/>
    <col min="15639" max="15639" width="12.5703125" style="402" customWidth="1"/>
    <col min="15640" max="15640" width="20.140625" style="402" customWidth="1"/>
    <col min="15641" max="15641" width="10.42578125" style="402" bestFit="1" customWidth="1"/>
    <col min="15642" max="15642" width="14.140625" style="402" customWidth="1"/>
    <col min="15643" max="15866" width="9.140625" style="402"/>
    <col min="15867" max="15867" width="5.140625" style="402" customWidth="1"/>
    <col min="15868" max="15868" width="27.140625" style="402" customWidth="1"/>
    <col min="15869" max="15869" width="0" style="402" hidden="1" customWidth="1"/>
    <col min="15870" max="15870" width="5.85546875" style="402" customWidth="1"/>
    <col min="15871" max="15871" width="4.28515625" style="402" customWidth="1"/>
    <col min="15872" max="15872" width="12.5703125" style="402" customWidth="1"/>
    <col min="15873" max="15876" width="0" style="402" hidden="1" customWidth="1"/>
    <col min="15877" max="15877" width="10.140625" style="402" customWidth="1"/>
    <col min="15878" max="15878" width="11.7109375" style="402" customWidth="1"/>
    <col min="15879" max="15879" width="0" style="402" hidden="1" customWidth="1"/>
    <col min="15880" max="15880" width="8.5703125" style="402" customWidth="1"/>
    <col min="15881" max="15881" width="7.85546875" style="402" customWidth="1"/>
    <col min="15882" max="15882" width="9.5703125" style="402" customWidth="1"/>
    <col min="15883" max="15883" width="0" style="402" hidden="1" customWidth="1"/>
    <col min="15884" max="15884" width="8.140625" style="402" customWidth="1"/>
    <col min="15885" max="15885" width="9.5703125" style="402" customWidth="1"/>
    <col min="15886" max="15886" width="10.85546875" style="402" customWidth="1"/>
    <col min="15887" max="15893" width="10" style="402" customWidth="1"/>
    <col min="15894" max="15894" width="12" style="402" customWidth="1"/>
    <col min="15895" max="15895" width="12.5703125" style="402" customWidth="1"/>
    <col min="15896" max="15896" width="20.140625" style="402" customWidth="1"/>
    <col min="15897" max="15897" width="10.42578125" style="402" bestFit="1" customWidth="1"/>
    <col min="15898" max="15898" width="14.140625" style="402" customWidth="1"/>
    <col min="15899" max="16122" width="9.140625" style="402"/>
    <col min="16123" max="16123" width="5.140625" style="402" customWidth="1"/>
    <col min="16124" max="16124" width="27.140625" style="402" customWidth="1"/>
    <col min="16125" max="16125" width="0" style="402" hidden="1" customWidth="1"/>
    <col min="16126" max="16126" width="5.85546875" style="402" customWidth="1"/>
    <col min="16127" max="16127" width="4.28515625" style="402" customWidth="1"/>
    <col min="16128" max="16128" width="12.5703125" style="402" customWidth="1"/>
    <col min="16129" max="16132" width="0" style="402" hidden="1" customWidth="1"/>
    <col min="16133" max="16133" width="10.140625" style="402" customWidth="1"/>
    <col min="16134" max="16134" width="11.7109375" style="402" customWidth="1"/>
    <col min="16135" max="16135" width="0" style="402" hidden="1" customWidth="1"/>
    <col min="16136" max="16136" width="8.5703125" style="402" customWidth="1"/>
    <col min="16137" max="16137" width="7.85546875" style="402" customWidth="1"/>
    <col min="16138" max="16138" width="9.5703125" style="402" customWidth="1"/>
    <col min="16139" max="16139" width="0" style="402" hidden="1" customWidth="1"/>
    <col min="16140" max="16140" width="8.140625" style="402" customWidth="1"/>
    <col min="16141" max="16141" width="9.5703125" style="402" customWidth="1"/>
    <col min="16142" max="16142" width="10.85546875" style="402" customWidth="1"/>
    <col min="16143" max="16149" width="10" style="402" customWidth="1"/>
    <col min="16150" max="16150" width="12" style="402" customWidth="1"/>
    <col min="16151" max="16151" width="12.5703125" style="402" customWidth="1"/>
    <col min="16152" max="16152" width="20.140625" style="402" customWidth="1"/>
    <col min="16153" max="16153" width="10.42578125" style="402" bestFit="1" customWidth="1"/>
    <col min="16154" max="16154" width="14.140625" style="402" customWidth="1"/>
    <col min="16155" max="16384" width="9.140625" style="402"/>
  </cols>
  <sheetData>
    <row r="1" spans="1:26" ht="20.25" customHeight="1" x14ac:dyDescent="0.25">
      <c r="H1" s="212"/>
      <c r="I1" s="262"/>
      <c r="J1" s="262"/>
      <c r="K1" s="262"/>
      <c r="L1" s="212"/>
      <c r="M1" s="212"/>
      <c r="N1" s="212"/>
      <c r="O1" s="212"/>
      <c r="P1" s="212"/>
      <c r="Q1" s="212"/>
      <c r="R1" s="615" t="s">
        <v>198</v>
      </c>
      <c r="S1" s="615"/>
      <c r="T1" s="615"/>
    </row>
    <row r="2" spans="1:26" s="142" customFormat="1" ht="29.25" customHeight="1" x14ac:dyDescent="0.2">
      <c r="A2" s="597" t="s">
        <v>205</v>
      </c>
      <c r="B2" s="597"/>
      <c r="C2" s="597"/>
      <c r="D2" s="597"/>
      <c r="E2" s="597"/>
      <c r="F2" s="597"/>
      <c r="G2" s="597"/>
      <c r="H2" s="597"/>
      <c r="I2" s="597"/>
      <c r="J2" s="597"/>
      <c r="K2" s="597"/>
      <c r="L2" s="597"/>
      <c r="M2" s="597"/>
      <c r="N2" s="597"/>
      <c r="O2" s="597"/>
      <c r="P2" s="597"/>
      <c r="Q2" s="597"/>
      <c r="R2" s="597"/>
      <c r="S2" s="597"/>
      <c r="T2" s="597"/>
      <c r="U2" s="141"/>
      <c r="V2" s="141"/>
      <c r="W2" s="141"/>
    </row>
    <row r="3" spans="1:26" s="142" customFormat="1" ht="16.5" customHeight="1" x14ac:dyDescent="0.2">
      <c r="A3" s="598" t="str">
        <f>'Tổng hợp KHV 2024'!A3:W3</f>
        <v>(Kèm theo Kế hoạch số ……./KH-UBND ngày ……./……/2023 của UBND huyện Tân Yên)</v>
      </c>
      <c r="B3" s="598"/>
      <c r="C3" s="598"/>
      <c r="D3" s="598"/>
      <c r="E3" s="598"/>
      <c r="F3" s="598"/>
      <c r="G3" s="598"/>
      <c r="H3" s="598"/>
      <c r="I3" s="598"/>
      <c r="J3" s="598"/>
      <c r="K3" s="598"/>
      <c r="L3" s="598"/>
      <c r="M3" s="598"/>
      <c r="N3" s="598"/>
      <c r="O3" s="598"/>
      <c r="P3" s="598"/>
      <c r="Q3" s="598"/>
      <c r="R3" s="598"/>
      <c r="S3" s="598"/>
      <c r="T3" s="598"/>
      <c r="U3" s="143"/>
      <c r="V3" s="143"/>
      <c r="W3" s="143"/>
    </row>
    <row r="4" spans="1:26" s="142" customFormat="1" ht="15.75" x14ac:dyDescent="0.2">
      <c r="A4" s="599"/>
      <c r="B4" s="599"/>
      <c r="C4" s="599"/>
      <c r="D4" s="599"/>
      <c r="E4" s="599"/>
      <c r="F4" s="599"/>
      <c r="G4" s="599"/>
      <c r="H4" s="543"/>
      <c r="I4" s="263"/>
      <c r="J4" s="263"/>
      <c r="K4" s="263"/>
      <c r="L4" s="543"/>
      <c r="M4" s="543"/>
      <c r="N4" s="543"/>
      <c r="O4" s="543"/>
      <c r="P4" s="543"/>
      <c r="Q4" s="543"/>
      <c r="R4" s="602" t="s">
        <v>36</v>
      </c>
      <c r="S4" s="602"/>
      <c r="T4" s="602"/>
      <c r="U4" s="144"/>
      <c r="V4" s="144"/>
      <c r="W4" s="144"/>
    </row>
    <row r="5" spans="1:26" s="552" customFormat="1" ht="19.5" customHeight="1" x14ac:dyDescent="0.2">
      <c r="A5" s="603" t="s">
        <v>35</v>
      </c>
      <c r="B5" s="604" t="s">
        <v>34</v>
      </c>
      <c r="C5" s="604" t="s">
        <v>284</v>
      </c>
      <c r="D5" s="603" t="s">
        <v>152</v>
      </c>
      <c r="E5" s="605" t="s">
        <v>33</v>
      </c>
      <c r="F5" s="604" t="s">
        <v>32</v>
      </c>
      <c r="G5" s="604" t="s">
        <v>31</v>
      </c>
      <c r="H5" s="604" t="s">
        <v>233</v>
      </c>
      <c r="I5" s="606" t="s">
        <v>40</v>
      </c>
      <c r="J5" s="607"/>
      <c r="K5" s="608"/>
      <c r="L5" s="616" t="s">
        <v>145</v>
      </c>
      <c r="M5" s="617"/>
      <c r="N5" s="617"/>
      <c r="O5" s="617"/>
      <c r="P5" s="617"/>
      <c r="Q5" s="617"/>
      <c r="R5" s="618"/>
      <c r="S5" s="622" t="s">
        <v>141</v>
      </c>
      <c r="T5" s="587" t="s">
        <v>30</v>
      </c>
      <c r="U5" s="587"/>
      <c r="V5" s="595" t="s">
        <v>189</v>
      </c>
      <c r="W5" s="577" t="s">
        <v>188</v>
      </c>
    </row>
    <row r="6" spans="1:26" s="553" customFormat="1" ht="16.5" customHeight="1" x14ac:dyDescent="0.2">
      <c r="A6" s="603"/>
      <c r="B6" s="604"/>
      <c r="C6" s="604"/>
      <c r="D6" s="603"/>
      <c r="E6" s="605"/>
      <c r="F6" s="604"/>
      <c r="G6" s="604"/>
      <c r="H6" s="604"/>
      <c r="I6" s="609"/>
      <c r="J6" s="610"/>
      <c r="K6" s="611"/>
      <c r="L6" s="619"/>
      <c r="M6" s="620"/>
      <c r="N6" s="620"/>
      <c r="O6" s="620"/>
      <c r="P6" s="620"/>
      <c r="Q6" s="620"/>
      <c r="R6" s="621"/>
      <c r="S6" s="623"/>
      <c r="T6" s="587"/>
      <c r="U6" s="587"/>
      <c r="V6" s="595"/>
      <c r="W6" s="577"/>
    </row>
    <row r="7" spans="1:26" s="553" customFormat="1" ht="20.25" customHeight="1" x14ac:dyDescent="0.2">
      <c r="A7" s="603"/>
      <c r="B7" s="604"/>
      <c r="C7" s="604"/>
      <c r="D7" s="603"/>
      <c r="E7" s="605"/>
      <c r="F7" s="604"/>
      <c r="G7" s="604"/>
      <c r="H7" s="604"/>
      <c r="I7" s="612" t="s">
        <v>298</v>
      </c>
      <c r="J7" s="612" t="s">
        <v>299</v>
      </c>
      <c r="K7" s="612" t="s">
        <v>173</v>
      </c>
      <c r="L7" s="622" t="s">
        <v>182</v>
      </c>
      <c r="M7" s="625" t="s">
        <v>40</v>
      </c>
      <c r="N7" s="626"/>
      <c r="O7" s="626"/>
      <c r="P7" s="626"/>
      <c r="Q7" s="626"/>
      <c r="R7" s="627"/>
      <c r="S7" s="623"/>
      <c r="T7" s="587"/>
      <c r="U7" s="587"/>
      <c r="V7" s="595"/>
      <c r="W7" s="577"/>
    </row>
    <row r="8" spans="1:26" s="553" customFormat="1" ht="12.75" customHeight="1" x14ac:dyDescent="0.2">
      <c r="A8" s="603"/>
      <c r="B8" s="604"/>
      <c r="C8" s="604"/>
      <c r="D8" s="603"/>
      <c r="E8" s="605"/>
      <c r="F8" s="604"/>
      <c r="G8" s="604"/>
      <c r="H8" s="604"/>
      <c r="I8" s="613"/>
      <c r="J8" s="613"/>
      <c r="K8" s="613"/>
      <c r="L8" s="623"/>
      <c r="M8" s="622" t="s">
        <v>147</v>
      </c>
      <c r="N8" s="622" t="s">
        <v>148</v>
      </c>
      <c r="O8" s="622" t="s">
        <v>149</v>
      </c>
      <c r="P8" s="622" t="s">
        <v>347</v>
      </c>
      <c r="Q8" s="622" t="s">
        <v>195</v>
      </c>
      <c r="R8" s="622" t="s">
        <v>196</v>
      </c>
      <c r="S8" s="623"/>
      <c r="T8" s="587"/>
      <c r="U8" s="587"/>
      <c r="V8" s="595"/>
      <c r="W8" s="577"/>
    </row>
    <row r="9" spans="1:26" s="553" customFormat="1" ht="45" customHeight="1" x14ac:dyDescent="0.2">
      <c r="A9" s="603"/>
      <c r="B9" s="604"/>
      <c r="C9" s="604"/>
      <c r="D9" s="603"/>
      <c r="E9" s="605"/>
      <c r="F9" s="604"/>
      <c r="G9" s="604"/>
      <c r="H9" s="604"/>
      <c r="I9" s="614"/>
      <c r="J9" s="614"/>
      <c r="K9" s="614"/>
      <c r="L9" s="624"/>
      <c r="M9" s="624"/>
      <c r="N9" s="624"/>
      <c r="O9" s="624"/>
      <c r="P9" s="624"/>
      <c r="Q9" s="624"/>
      <c r="R9" s="624"/>
      <c r="S9" s="624"/>
      <c r="T9" s="587"/>
      <c r="U9" s="587"/>
      <c r="V9" s="595"/>
      <c r="W9" s="577"/>
      <c r="X9" s="147">
        <v>3333333</v>
      </c>
    </row>
    <row r="10" spans="1:26" s="553" customFormat="1" ht="45" hidden="1" customHeight="1" x14ac:dyDescent="0.2">
      <c r="A10" s="554">
        <v>1</v>
      </c>
      <c r="B10" s="547">
        <v>2</v>
      </c>
      <c r="C10" s="547"/>
      <c r="D10" s="554">
        <v>3</v>
      </c>
      <c r="E10" s="555">
        <v>4</v>
      </c>
      <c r="F10" s="549">
        <v>5</v>
      </c>
      <c r="G10" s="549">
        <v>6</v>
      </c>
      <c r="H10" s="549">
        <v>14</v>
      </c>
      <c r="I10" s="550"/>
      <c r="J10" s="550"/>
      <c r="K10" s="550"/>
      <c r="L10" s="548">
        <v>15</v>
      </c>
      <c r="M10" s="548">
        <v>16</v>
      </c>
      <c r="N10" s="548">
        <v>17</v>
      </c>
      <c r="O10" s="548">
        <v>18</v>
      </c>
      <c r="P10" s="548"/>
      <c r="Q10" s="548">
        <v>19</v>
      </c>
      <c r="R10" s="548">
        <v>20</v>
      </c>
      <c r="S10" s="548">
        <v>21</v>
      </c>
      <c r="T10" s="546">
        <v>22</v>
      </c>
      <c r="U10" s="546"/>
      <c r="V10" s="189"/>
      <c r="W10" s="189"/>
      <c r="X10" s="147"/>
    </row>
    <row r="11" spans="1:26" s="556" customFormat="1" ht="35.25" customHeight="1" x14ac:dyDescent="0.2">
      <c r="A11" s="29"/>
      <c r="B11" s="37" t="s">
        <v>71</v>
      </c>
      <c r="C11" s="37"/>
      <c r="D11" s="15"/>
      <c r="E11" s="41"/>
      <c r="F11" s="148">
        <f t="shared" ref="F11:S11" si="0">F12+F23+F29</f>
        <v>18</v>
      </c>
      <c r="G11" s="148">
        <f t="shared" si="0"/>
        <v>1552250.9040000001</v>
      </c>
      <c r="H11" s="148">
        <f t="shared" si="0"/>
        <v>356460</v>
      </c>
      <c r="I11" s="148">
        <f t="shared" si="0"/>
        <v>16100</v>
      </c>
      <c r="J11" s="148">
        <f t="shared" si="0"/>
        <v>73100</v>
      </c>
      <c r="K11" s="148">
        <f t="shared" si="0"/>
        <v>253060</v>
      </c>
      <c r="L11" s="148">
        <f t="shared" si="0"/>
        <v>307390</v>
      </c>
      <c r="M11" s="148">
        <f t="shared" si="0"/>
        <v>70750</v>
      </c>
      <c r="N11" s="148">
        <f t="shared" si="0"/>
        <v>13400</v>
      </c>
      <c r="O11" s="148">
        <f t="shared" si="0"/>
        <v>223240</v>
      </c>
      <c r="P11" s="148">
        <f t="shared" si="0"/>
        <v>0</v>
      </c>
      <c r="Q11" s="148">
        <f t="shared" si="0"/>
        <v>0</v>
      </c>
      <c r="R11" s="148">
        <f t="shared" si="0"/>
        <v>0</v>
      </c>
      <c r="S11" s="148">
        <f t="shared" si="0"/>
        <v>663850</v>
      </c>
      <c r="T11" s="38"/>
      <c r="U11" s="38"/>
      <c r="V11" s="168"/>
      <c r="W11" s="168">
        <f t="shared" ref="W11:W23" si="1">G11-H11</f>
        <v>1195790.9040000001</v>
      </c>
    </row>
    <row r="12" spans="1:26" s="556" customFormat="1" ht="21" customHeight="1" x14ac:dyDescent="0.2">
      <c r="A12" s="29" t="s">
        <v>76</v>
      </c>
      <c r="B12" s="13" t="s">
        <v>186</v>
      </c>
      <c r="C12" s="13"/>
      <c r="D12" s="157"/>
      <c r="E12" s="41"/>
      <c r="F12" s="148">
        <f>SUM(F13:F22)</f>
        <v>10</v>
      </c>
      <c r="G12" s="148">
        <f t="shared" ref="G12:S12" si="2">SUM(G13:G22)</f>
        <v>1054750.9040000001</v>
      </c>
      <c r="H12" s="148">
        <f t="shared" si="2"/>
        <v>343260</v>
      </c>
      <c r="I12" s="148">
        <f t="shared" si="2"/>
        <v>16100</v>
      </c>
      <c r="J12" s="148">
        <f t="shared" si="2"/>
        <v>61900</v>
      </c>
      <c r="K12" s="148">
        <f t="shared" si="2"/>
        <v>253060</v>
      </c>
      <c r="L12" s="148">
        <f t="shared" si="2"/>
        <v>243390</v>
      </c>
      <c r="M12" s="148">
        <f t="shared" si="2"/>
        <v>70750</v>
      </c>
      <c r="N12" s="148">
        <f t="shared" si="2"/>
        <v>13400</v>
      </c>
      <c r="O12" s="148">
        <f t="shared" si="2"/>
        <v>159240</v>
      </c>
      <c r="P12" s="148">
        <f t="shared" si="2"/>
        <v>0</v>
      </c>
      <c r="Q12" s="148">
        <f t="shared" si="2"/>
        <v>0</v>
      </c>
      <c r="R12" s="148">
        <f t="shared" si="2"/>
        <v>0</v>
      </c>
      <c r="S12" s="148">
        <f t="shared" si="2"/>
        <v>586650</v>
      </c>
      <c r="T12" s="38"/>
      <c r="U12" s="38"/>
      <c r="V12" s="168"/>
      <c r="W12" s="168">
        <f t="shared" si="1"/>
        <v>711490.9040000001</v>
      </c>
      <c r="X12" s="557" t="e">
        <f>#REF!+#REF!</f>
        <v>#REF!</v>
      </c>
    </row>
    <row r="13" spans="1:26" s="562" customFormat="1" ht="48" x14ac:dyDescent="0.25">
      <c r="A13" s="108">
        <v>1</v>
      </c>
      <c r="B13" s="558" t="s">
        <v>97</v>
      </c>
      <c r="C13" s="265" t="s">
        <v>209</v>
      </c>
      <c r="D13" s="158" t="s">
        <v>77</v>
      </c>
      <c r="E13" s="110" t="s">
        <v>88</v>
      </c>
      <c r="F13" s="125">
        <v>1</v>
      </c>
      <c r="G13" s="126">
        <v>230000</v>
      </c>
      <c r="H13" s="559">
        <v>130800</v>
      </c>
      <c r="I13" s="560">
        <v>14800</v>
      </c>
      <c r="J13" s="560">
        <v>41000</v>
      </c>
      <c r="K13" s="560">
        <v>75000</v>
      </c>
      <c r="L13" s="559">
        <f>SUM(M13:R13)</f>
        <v>80750</v>
      </c>
      <c r="M13" s="559">
        <v>70750</v>
      </c>
      <c r="N13" s="559"/>
      <c r="O13" s="559">
        <v>10000</v>
      </c>
      <c r="P13" s="559"/>
      <c r="Q13" s="559"/>
      <c r="R13" s="559"/>
      <c r="S13" s="559">
        <f>H13+L13</f>
        <v>211550</v>
      </c>
      <c r="T13" s="110" t="s">
        <v>77</v>
      </c>
      <c r="U13" s="110" t="s">
        <v>190</v>
      </c>
      <c r="V13" s="170">
        <f>165750-95000</f>
        <v>70750</v>
      </c>
      <c r="W13" s="168">
        <f t="shared" si="1"/>
        <v>99200</v>
      </c>
      <c r="X13" s="561" t="e">
        <f>+#REF!+#REF!+#REF!+#REF!</f>
        <v>#REF!</v>
      </c>
      <c r="Y13" s="561">
        <f t="shared" ref="Y13:Y23" si="3">+G13*70%</f>
        <v>161000</v>
      </c>
      <c r="Z13" s="562">
        <v>65800</v>
      </c>
    </row>
    <row r="14" spans="1:26" ht="48" x14ac:dyDescent="0.25">
      <c r="A14" s="20">
        <v>2</v>
      </c>
      <c r="B14" s="266" t="s">
        <v>201</v>
      </c>
      <c r="C14" s="265" t="s">
        <v>300</v>
      </c>
      <c r="D14" s="157" t="s">
        <v>78</v>
      </c>
      <c r="E14" s="43" t="s">
        <v>306</v>
      </c>
      <c r="F14" s="122">
        <v>1</v>
      </c>
      <c r="G14" s="122">
        <v>31000</v>
      </c>
      <c r="H14" s="559">
        <v>21000</v>
      </c>
      <c r="I14" s="560">
        <v>1000</v>
      </c>
      <c r="J14" s="560">
        <v>10000</v>
      </c>
      <c r="K14" s="560">
        <v>10000</v>
      </c>
      <c r="L14" s="559">
        <f t="shared" ref="L14:L22" si="4">SUM(M14:R14)</f>
        <v>6000</v>
      </c>
      <c r="M14" s="559"/>
      <c r="N14" s="559"/>
      <c r="O14" s="559">
        <v>6000</v>
      </c>
      <c r="P14" s="559"/>
      <c r="Q14" s="559"/>
      <c r="R14" s="559"/>
      <c r="S14" s="559">
        <f t="shared" ref="S14:S30" si="5">H14+L14</f>
        <v>27000</v>
      </c>
      <c r="T14" s="39" t="s">
        <v>78</v>
      </c>
      <c r="U14" s="39"/>
      <c r="V14" s="188">
        <f>G14-3555</f>
        <v>27445</v>
      </c>
      <c r="W14" s="168">
        <f t="shared" si="1"/>
        <v>10000</v>
      </c>
      <c r="X14" s="563" t="e">
        <f>+#REF!+#REF!+#REF!+#REF!</f>
        <v>#REF!</v>
      </c>
      <c r="Y14" s="563">
        <f t="shared" si="3"/>
        <v>21700</v>
      </c>
    </row>
    <row r="15" spans="1:26" s="562" customFormat="1" ht="48" x14ac:dyDescent="0.25">
      <c r="A15" s="108">
        <v>3</v>
      </c>
      <c r="B15" s="558" t="s">
        <v>70</v>
      </c>
      <c r="C15" s="265" t="s">
        <v>209</v>
      </c>
      <c r="D15" s="158" t="s">
        <v>79</v>
      </c>
      <c r="E15" s="150" t="s">
        <v>88</v>
      </c>
      <c r="F15" s="125">
        <v>1</v>
      </c>
      <c r="G15" s="125">
        <v>114910</v>
      </c>
      <c r="H15" s="559">
        <v>33000</v>
      </c>
      <c r="I15" s="560"/>
      <c r="J15" s="560">
        <v>3000</v>
      </c>
      <c r="K15" s="560">
        <v>30000</v>
      </c>
      <c r="L15" s="559">
        <f t="shared" si="4"/>
        <v>30000</v>
      </c>
      <c r="M15" s="559"/>
      <c r="N15" s="559"/>
      <c r="O15" s="559">
        <v>30000</v>
      </c>
      <c r="P15" s="559"/>
      <c r="Q15" s="559"/>
      <c r="R15" s="559"/>
      <c r="S15" s="559">
        <f t="shared" si="5"/>
        <v>63000</v>
      </c>
      <c r="T15" s="110" t="s">
        <v>79</v>
      </c>
      <c r="U15" s="110"/>
      <c r="V15" s="170"/>
      <c r="W15" s="168">
        <f t="shared" si="1"/>
        <v>81910</v>
      </c>
      <c r="X15" s="561" t="e">
        <f>+#REF!+#REF!+#REF!+#REF!</f>
        <v>#REF!</v>
      </c>
      <c r="Y15" s="561">
        <f t="shared" si="3"/>
        <v>80437</v>
      </c>
    </row>
    <row r="16" spans="1:26" s="562" customFormat="1" ht="48" x14ac:dyDescent="0.25">
      <c r="A16" s="20">
        <v>4</v>
      </c>
      <c r="B16" s="567" t="s">
        <v>80</v>
      </c>
      <c r="C16" s="265" t="s">
        <v>209</v>
      </c>
      <c r="D16" s="158" t="s">
        <v>81</v>
      </c>
      <c r="E16" s="150" t="s">
        <v>85</v>
      </c>
      <c r="F16" s="125">
        <v>1</v>
      </c>
      <c r="G16" s="125">
        <v>169927.78099999999</v>
      </c>
      <c r="H16" s="559">
        <v>29300</v>
      </c>
      <c r="I16" s="560">
        <v>300</v>
      </c>
      <c r="J16" s="560">
        <v>2000</v>
      </c>
      <c r="K16" s="560">
        <v>27000</v>
      </c>
      <c r="L16" s="559">
        <f t="shared" si="4"/>
        <v>23000</v>
      </c>
      <c r="M16" s="559"/>
      <c r="N16" s="559"/>
      <c r="O16" s="559">
        <v>23000</v>
      </c>
      <c r="P16" s="559"/>
      <c r="Q16" s="559"/>
      <c r="R16" s="559"/>
      <c r="S16" s="559">
        <f t="shared" si="5"/>
        <v>52300</v>
      </c>
      <c r="T16" s="110" t="s">
        <v>81</v>
      </c>
      <c r="U16" s="110"/>
      <c r="V16" s="170"/>
      <c r="W16" s="168">
        <f t="shared" si="1"/>
        <v>140627.78099999999</v>
      </c>
      <c r="X16" s="561" t="e">
        <f>+#REF!+#REF!+#REF!+#REF!</f>
        <v>#REF!</v>
      </c>
      <c r="Y16" s="561">
        <f t="shared" si="3"/>
        <v>118949.44669999999</v>
      </c>
    </row>
    <row r="17" spans="1:25" ht="63" x14ac:dyDescent="0.25">
      <c r="A17" s="108">
        <v>5</v>
      </c>
      <c r="B17" s="276" t="s">
        <v>82</v>
      </c>
      <c r="C17" s="265" t="s">
        <v>209</v>
      </c>
      <c r="D17" s="158" t="s">
        <v>83</v>
      </c>
      <c r="E17" s="43" t="s">
        <v>306</v>
      </c>
      <c r="F17" s="122">
        <v>1</v>
      </c>
      <c r="G17" s="123">
        <v>40999.758000000002</v>
      </c>
      <c r="H17" s="559">
        <v>17000</v>
      </c>
      <c r="I17" s="560"/>
      <c r="J17" s="560">
        <v>1700</v>
      </c>
      <c r="K17" s="560">
        <v>15300</v>
      </c>
      <c r="L17" s="559">
        <f t="shared" si="4"/>
        <v>15000</v>
      </c>
      <c r="M17" s="559"/>
      <c r="N17" s="559"/>
      <c r="O17" s="559">
        <v>15000</v>
      </c>
      <c r="P17" s="559"/>
      <c r="Q17" s="559"/>
      <c r="R17" s="559"/>
      <c r="S17" s="559">
        <f t="shared" si="5"/>
        <v>32000</v>
      </c>
      <c r="T17" s="39" t="s">
        <v>83</v>
      </c>
      <c r="U17" s="39"/>
      <c r="V17" s="107"/>
      <c r="W17" s="168">
        <f t="shared" si="1"/>
        <v>23999.758000000002</v>
      </c>
      <c r="X17" s="563" t="e">
        <f>+#REF!+#REF!+#REF!+#REF!</f>
        <v>#REF!</v>
      </c>
      <c r="Y17" s="563">
        <f t="shared" si="3"/>
        <v>28699.830599999998</v>
      </c>
    </row>
    <row r="18" spans="1:25" ht="39" x14ac:dyDescent="0.25">
      <c r="A18" s="20">
        <v>6</v>
      </c>
      <c r="B18" s="30" t="s">
        <v>72</v>
      </c>
      <c r="C18" s="265" t="s">
        <v>209</v>
      </c>
      <c r="D18" s="158" t="s">
        <v>183</v>
      </c>
      <c r="E18" s="39" t="s">
        <v>88</v>
      </c>
      <c r="F18" s="122">
        <v>1</v>
      </c>
      <c r="G18" s="123">
        <v>95000</v>
      </c>
      <c r="H18" s="559">
        <v>28000</v>
      </c>
      <c r="I18" s="560"/>
      <c r="J18" s="560">
        <v>1000</v>
      </c>
      <c r="K18" s="560">
        <v>27000</v>
      </c>
      <c r="L18" s="559">
        <f t="shared" si="4"/>
        <v>30000</v>
      </c>
      <c r="M18" s="559"/>
      <c r="N18" s="559"/>
      <c r="O18" s="559">
        <v>30000</v>
      </c>
      <c r="P18" s="559"/>
      <c r="Q18" s="559"/>
      <c r="R18" s="559"/>
      <c r="S18" s="559">
        <f t="shared" si="5"/>
        <v>58000</v>
      </c>
      <c r="T18" s="568" t="s">
        <v>127</v>
      </c>
      <c r="U18" s="568"/>
      <c r="V18" s="171"/>
      <c r="W18" s="168">
        <f t="shared" si="1"/>
        <v>67000</v>
      </c>
      <c r="X18" s="563" t="e">
        <f>+#REF!+#REF!+#REF!+#REF!</f>
        <v>#REF!</v>
      </c>
      <c r="Y18" s="563">
        <f t="shared" si="3"/>
        <v>66500</v>
      </c>
    </row>
    <row r="19" spans="1:25" ht="47.25" x14ac:dyDescent="0.25">
      <c r="A19" s="108">
        <v>7</v>
      </c>
      <c r="B19" s="268" t="s">
        <v>73</v>
      </c>
      <c r="C19" s="265" t="s">
        <v>209</v>
      </c>
      <c r="D19" s="158" t="s">
        <v>184</v>
      </c>
      <c r="E19" s="39" t="s">
        <v>88</v>
      </c>
      <c r="F19" s="122">
        <v>1</v>
      </c>
      <c r="G19" s="123">
        <v>250000</v>
      </c>
      <c r="H19" s="559">
        <v>41000</v>
      </c>
      <c r="I19" s="560"/>
      <c r="J19" s="560">
        <v>1000</v>
      </c>
      <c r="K19" s="560">
        <v>40000</v>
      </c>
      <c r="L19" s="559">
        <f t="shared" si="4"/>
        <v>25000</v>
      </c>
      <c r="M19" s="559"/>
      <c r="N19" s="559"/>
      <c r="O19" s="559">
        <v>25000</v>
      </c>
      <c r="P19" s="559"/>
      <c r="Q19" s="559"/>
      <c r="R19" s="559"/>
      <c r="S19" s="559">
        <f t="shared" si="5"/>
        <v>66000</v>
      </c>
      <c r="T19" s="39" t="s">
        <v>126</v>
      </c>
      <c r="U19" s="39"/>
      <c r="V19" s="107"/>
      <c r="W19" s="168">
        <f t="shared" si="1"/>
        <v>209000</v>
      </c>
      <c r="X19" s="563" t="e">
        <f>+#REF!+#REF!+#REF!+#REF!</f>
        <v>#REF!</v>
      </c>
      <c r="Y19" s="563">
        <f t="shared" si="3"/>
        <v>175000</v>
      </c>
    </row>
    <row r="20" spans="1:25" ht="38.25" x14ac:dyDescent="0.2">
      <c r="A20" s="20">
        <v>8</v>
      </c>
      <c r="B20" s="30" t="s">
        <v>99</v>
      </c>
      <c r="C20" s="265" t="s">
        <v>209</v>
      </c>
      <c r="D20" s="158" t="s">
        <v>191</v>
      </c>
      <c r="E20" s="39" t="s">
        <v>85</v>
      </c>
      <c r="F20" s="122">
        <v>1</v>
      </c>
      <c r="G20" s="123">
        <v>14961.365</v>
      </c>
      <c r="H20" s="559">
        <v>2760</v>
      </c>
      <c r="I20" s="560"/>
      <c r="J20" s="560">
        <v>200</v>
      </c>
      <c r="K20" s="560">
        <v>2560</v>
      </c>
      <c r="L20" s="559">
        <f t="shared" si="4"/>
        <v>10240</v>
      </c>
      <c r="M20" s="559"/>
      <c r="N20" s="559"/>
      <c r="O20" s="559">
        <v>10240</v>
      </c>
      <c r="P20" s="559"/>
      <c r="Q20" s="559"/>
      <c r="R20" s="559"/>
      <c r="S20" s="559">
        <f t="shared" si="5"/>
        <v>13000</v>
      </c>
      <c r="T20" s="39"/>
      <c r="U20" s="39"/>
      <c r="V20" s="107"/>
      <c r="W20" s="168">
        <f t="shared" ref="W20:W21" si="6">G20-H20</f>
        <v>12201.365</v>
      </c>
    </row>
    <row r="21" spans="1:25" ht="71.25" customHeight="1" x14ac:dyDescent="0.25">
      <c r="A21" s="108">
        <v>9</v>
      </c>
      <c r="B21" s="30" t="s">
        <v>180</v>
      </c>
      <c r="C21" s="265" t="s">
        <v>209</v>
      </c>
      <c r="D21" s="158" t="s">
        <v>304</v>
      </c>
      <c r="E21" s="43" t="s">
        <v>85</v>
      </c>
      <c r="F21" s="122">
        <v>1</v>
      </c>
      <c r="G21" s="123">
        <v>55000</v>
      </c>
      <c r="H21" s="559">
        <v>14100</v>
      </c>
      <c r="I21" s="560"/>
      <c r="J21" s="560">
        <v>1000</v>
      </c>
      <c r="K21" s="560">
        <v>13100</v>
      </c>
      <c r="L21" s="559">
        <f t="shared" ref="L21" si="7">SUM(M21:R21)</f>
        <v>13400</v>
      </c>
      <c r="M21" s="559"/>
      <c r="N21" s="559">
        <v>13400</v>
      </c>
      <c r="O21" s="559">
        <v>0</v>
      </c>
      <c r="P21" s="559"/>
      <c r="Q21" s="559"/>
      <c r="R21" s="559"/>
      <c r="S21" s="559">
        <f t="shared" ref="S21" si="8">H21+L21</f>
        <v>27500</v>
      </c>
      <c r="T21" s="39" t="s">
        <v>181</v>
      </c>
      <c r="U21" s="39" t="s">
        <v>192</v>
      </c>
      <c r="V21" s="107"/>
      <c r="W21" s="168">
        <f t="shared" si="6"/>
        <v>40900</v>
      </c>
      <c r="X21" s="563" t="e">
        <f>+#REF!+#REF!+#REF!+#REF!</f>
        <v>#REF!</v>
      </c>
      <c r="Y21" s="563">
        <f t="shared" ref="Y21" si="9">+G21*70%</f>
        <v>38500</v>
      </c>
    </row>
    <row r="22" spans="1:25" ht="71.25" customHeight="1" x14ac:dyDescent="0.25">
      <c r="A22" s="108">
        <v>10</v>
      </c>
      <c r="B22" s="30" t="s">
        <v>606</v>
      </c>
      <c r="C22" s="265" t="s">
        <v>209</v>
      </c>
      <c r="D22" s="158" t="s">
        <v>607</v>
      </c>
      <c r="E22" s="43" t="s">
        <v>85</v>
      </c>
      <c r="F22" s="122">
        <v>1</v>
      </c>
      <c r="G22" s="123">
        <v>52952</v>
      </c>
      <c r="H22" s="559">
        <v>26300</v>
      </c>
      <c r="I22" s="560"/>
      <c r="J22" s="560">
        <v>1000</v>
      </c>
      <c r="K22" s="560">
        <v>13100</v>
      </c>
      <c r="L22" s="559">
        <f t="shared" si="4"/>
        <v>10000</v>
      </c>
      <c r="M22" s="559"/>
      <c r="N22" s="559"/>
      <c r="O22" s="559">
        <v>10000</v>
      </c>
      <c r="P22" s="559"/>
      <c r="Q22" s="559"/>
      <c r="R22" s="559"/>
      <c r="S22" s="559">
        <f t="shared" si="5"/>
        <v>36300</v>
      </c>
      <c r="T22" s="39" t="s">
        <v>181</v>
      </c>
      <c r="U22" s="39" t="s">
        <v>192</v>
      </c>
      <c r="V22" s="107"/>
      <c r="W22" s="168">
        <f t="shared" si="1"/>
        <v>26652</v>
      </c>
      <c r="X22" s="563" t="e">
        <f>+#REF!+#REF!+#REF!+#REF!</f>
        <v>#REF!</v>
      </c>
      <c r="Y22" s="563">
        <f t="shared" si="3"/>
        <v>37066.399999999994</v>
      </c>
    </row>
    <row r="23" spans="1:25" s="32" customFormat="1" ht="24" customHeight="1" x14ac:dyDescent="0.25">
      <c r="A23" s="20"/>
      <c r="B23" s="148" t="s">
        <v>187</v>
      </c>
      <c r="C23" s="148"/>
      <c r="D23" s="158"/>
      <c r="E23" s="43"/>
      <c r="F23" s="148">
        <f t="shared" ref="F23:S23" si="10">SUM(F24:F28)</f>
        <v>5</v>
      </c>
      <c r="G23" s="148">
        <f t="shared" si="10"/>
        <v>189500</v>
      </c>
      <c r="H23" s="148">
        <f t="shared" si="10"/>
        <v>11200</v>
      </c>
      <c r="I23" s="148">
        <f t="shared" si="10"/>
        <v>0</v>
      </c>
      <c r="J23" s="148">
        <f t="shared" si="10"/>
        <v>11200</v>
      </c>
      <c r="K23" s="148">
        <f t="shared" si="10"/>
        <v>0</v>
      </c>
      <c r="L23" s="148">
        <f t="shared" si="10"/>
        <v>52000</v>
      </c>
      <c r="M23" s="148">
        <f t="shared" si="10"/>
        <v>0</v>
      </c>
      <c r="N23" s="148">
        <f t="shared" si="10"/>
        <v>0</v>
      </c>
      <c r="O23" s="148">
        <f t="shared" si="10"/>
        <v>52000</v>
      </c>
      <c r="P23" s="148">
        <f t="shared" si="10"/>
        <v>0</v>
      </c>
      <c r="Q23" s="148">
        <f t="shared" si="10"/>
        <v>0</v>
      </c>
      <c r="R23" s="148">
        <f t="shared" si="10"/>
        <v>0</v>
      </c>
      <c r="S23" s="148">
        <f t="shared" si="10"/>
        <v>63200</v>
      </c>
      <c r="T23" s="39"/>
      <c r="U23" s="39"/>
      <c r="V23" s="107"/>
      <c r="W23" s="168">
        <f t="shared" si="1"/>
        <v>178300</v>
      </c>
      <c r="X23" s="563" t="e">
        <f>+#REF!+#REF!+#REF!+#REF!</f>
        <v>#REF!</v>
      </c>
      <c r="Y23" s="563">
        <f t="shared" si="3"/>
        <v>132650</v>
      </c>
    </row>
    <row r="24" spans="1:25" ht="126" x14ac:dyDescent="0.25">
      <c r="A24" s="20">
        <v>1</v>
      </c>
      <c r="B24" s="269" t="s">
        <v>309</v>
      </c>
      <c r="C24" s="265" t="s">
        <v>209</v>
      </c>
      <c r="D24" s="158" t="s">
        <v>305</v>
      </c>
      <c r="E24" s="39" t="s">
        <v>98</v>
      </c>
      <c r="F24" s="122">
        <v>1</v>
      </c>
      <c r="G24" s="148">
        <v>52000</v>
      </c>
      <c r="H24" s="559">
        <v>10000</v>
      </c>
      <c r="I24" s="560"/>
      <c r="J24" s="560">
        <v>10000</v>
      </c>
      <c r="K24" s="560"/>
      <c r="L24" s="559">
        <f t="shared" ref="L24" si="11">SUM(M24:R24)</f>
        <v>13300</v>
      </c>
      <c r="M24" s="559"/>
      <c r="N24" s="559"/>
      <c r="O24" s="559">
        <v>13300</v>
      </c>
      <c r="P24" s="559"/>
      <c r="Q24" s="559"/>
      <c r="R24" s="559"/>
      <c r="S24" s="559">
        <f t="shared" si="5"/>
        <v>23300</v>
      </c>
      <c r="T24" s="39" t="s">
        <v>84</v>
      </c>
      <c r="U24" s="39"/>
      <c r="V24" s="107"/>
      <c r="W24" s="168">
        <f t="shared" ref="W24:W27" si="12">G24-H24</f>
        <v>42000</v>
      </c>
      <c r="X24" s="563" t="e">
        <f>+#REF!+#REF!+#REF!+#REF!</f>
        <v>#REF!</v>
      </c>
      <c r="Y24" s="563">
        <f>+G24*70%</f>
        <v>36400</v>
      </c>
    </row>
    <row r="25" spans="1:25" s="564" customFormat="1" ht="31.5" x14ac:dyDescent="0.2">
      <c r="A25" s="270">
        <v>2</v>
      </c>
      <c r="B25" s="266" t="s">
        <v>301</v>
      </c>
      <c r="C25" s="265" t="s">
        <v>209</v>
      </c>
      <c r="D25" s="271"/>
      <c r="E25" s="40"/>
      <c r="F25" s="272">
        <v>1</v>
      </c>
      <c r="G25" s="273">
        <v>9000</v>
      </c>
      <c r="H25" s="560"/>
      <c r="I25" s="560"/>
      <c r="J25" s="560"/>
      <c r="K25" s="560"/>
      <c r="L25" s="559">
        <f t="shared" ref="L25:L26" si="13">SUM(M25:R25)</f>
        <v>2700</v>
      </c>
      <c r="M25" s="560"/>
      <c r="N25" s="560"/>
      <c r="O25" s="560">
        <v>2700</v>
      </c>
      <c r="P25" s="560"/>
      <c r="Q25" s="560"/>
      <c r="R25" s="560"/>
      <c r="S25" s="559">
        <f t="shared" ref="S25:S26" si="14">H25+L25</f>
        <v>2700</v>
      </c>
      <c r="T25" s="40"/>
      <c r="U25" s="40"/>
      <c r="V25" s="274"/>
      <c r="W25" s="275"/>
    </row>
    <row r="26" spans="1:25" s="564" customFormat="1" ht="48" x14ac:dyDescent="0.2">
      <c r="A26" s="270">
        <v>3</v>
      </c>
      <c r="B26" s="266" t="s">
        <v>604</v>
      </c>
      <c r="C26" s="265" t="s">
        <v>209</v>
      </c>
      <c r="D26" s="271"/>
      <c r="E26" s="40"/>
      <c r="F26" s="272">
        <v>1</v>
      </c>
      <c r="G26" s="273">
        <v>8700</v>
      </c>
      <c r="H26" s="560"/>
      <c r="I26" s="560"/>
      <c r="J26" s="560"/>
      <c r="K26" s="560"/>
      <c r="L26" s="560">
        <f t="shared" si="13"/>
        <v>3000</v>
      </c>
      <c r="M26" s="560"/>
      <c r="N26" s="560"/>
      <c r="O26" s="560">
        <v>3000</v>
      </c>
      <c r="P26" s="560"/>
      <c r="Q26" s="560"/>
      <c r="R26" s="560"/>
      <c r="S26" s="559">
        <f t="shared" si="14"/>
        <v>3000</v>
      </c>
      <c r="T26" s="40"/>
      <c r="U26" s="40" t="s">
        <v>605</v>
      </c>
      <c r="V26" s="274"/>
      <c r="W26" s="275"/>
    </row>
    <row r="27" spans="1:25" ht="38.25" x14ac:dyDescent="0.2">
      <c r="A27" s="20">
        <v>4</v>
      </c>
      <c r="B27" s="276" t="s">
        <v>125</v>
      </c>
      <c r="C27" s="265" t="s">
        <v>209</v>
      </c>
      <c r="D27" s="158" t="s">
        <v>126</v>
      </c>
      <c r="E27" s="39" t="s">
        <v>98</v>
      </c>
      <c r="F27" s="122">
        <v>1</v>
      </c>
      <c r="G27" s="123">
        <v>110000</v>
      </c>
      <c r="H27" s="559">
        <v>1200</v>
      </c>
      <c r="I27" s="560"/>
      <c r="J27" s="560">
        <v>1200</v>
      </c>
      <c r="K27" s="560"/>
      <c r="L27" s="559">
        <f>SUM(M27:R27)</f>
        <v>30000</v>
      </c>
      <c r="M27" s="559"/>
      <c r="N27" s="559"/>
      <c r="O27" s="559">
        <v>30000</v>
      </c>
      <c r="P27" s="559"/>
      <c r="Q27" s="559"/>
      <c r="R27" s="559"/>
      <c r="S27" s="559">
        <f t="shared" si="5"/>
        <v>31200</v>
      </c>
      <c r="T27" s="39" t="s">
        <v>126</v>
      </c>
      <c r="U27" s="39"/>
      <c r="V27" s="107"/>
      <c r="W27" s="168">
        <f t="shared" si="12"/>
        <v>108800</v>
      </c>
    </row>
    <row r="28" spans="1:25" s="564" customFormat="1" ht="63" x14ac:dyDescent="0.2">
      <c r="A28" s="20">
        <v>5</v>
      </c>
      <c r="B28" s="266" t="s">
        <v>302</v>
      </c>
      <c r="C28" s="265" t="s">
        <v>209</v>
      </c>
      <c r="D28" s="271"/>
      <c r="E28" s="40"/>
      <c r="F28" s="272">
        <v>1</v>
      </c>
      <c r="G28" s="273">
        <v>9800</v>
      </c>
      <c r="H28" s="560"/>
      <c r="I28" s="560"/>
      <c r="J28" s="560"/>
      <c r="K28" s="560"/>
      <c r="L28" s="560">
        <f t="shared" ref="L28" si="15">SUM(M28:R28)</f>
        <v>3000</v>
      </c>
      <c r="M28" s="560"/>
      <c r="N28" s="560"/>
      <c r="O28" s="560">
        <v>3000</v>
      </c>
      <c r="P28" s="560"/>
      <c r="Q28" s="560"/>
      <c r="R28" s="560"/>
      <c r="S28" s="559">
        <f t="shared" si="5"/>
        <v>3000</v>
      </c>
      <c r="T28" s="40"/>
      <c r="U28" s="40"/>
      <c r="V28" s="274"/>
      <c r="W28" s="275"/>
    </row>
    <row r="29" spans="1:25" s="556" customFormat="1" ht="23.25" customHeight="1" x14ac:dyDescent="0.2">
      <c r="A29" s="29"/>
      <c r="B29" s="148" t="s">
        <v>296</v>
      </c>
      <c r="C29" s="148"/>
      <c r="D29" s="195"/>
      <c r="E29" s="151"/>
      <c r="F29" s="148">
        <f t="shared" ref="F29:S29" si="16">SUM(F30:F32)</f>
        <v>3</v>
      </c>
      <c r="G29" s="148">
        <f t="shared" si="16"/>
        <v>308000</v>
      </c>
      <c r="H29" s="148">
        <f t="shared" si="16"/>
        <v>2000</v>
      </c>
      <c r="I29" s="148">
        <f t="shared" si="16"/>
        <v>0</v>
      </c>
      <c r="J29" s="148">
        <f t="shared" si="16"/>
        <v>0</v>
      </c>
      <c r="K29" s="148">
        <f t="shared" si="16"/>
        <v>0</v>
      </c>
      <c r="L29" s="148">
        <f t="shared" si="16"/>
        <v>12000</v>
      </c>
      <c r="M29" s="148">
        <f t="shared" si="16"/>
        <v>0</v>
      </c>
      <c r="N29" s="148">
        <f t="shared" si="16"/>
        <v>0</v>
      </c>
      <c r="O29" s="148">
        <f t="shared" si="16"/>
        <v>12000</v>
      </c>
      <c r="P29" s="148">
        <f t="shared" si="16"/>
        <v>0</v>
      </c>
      <c r="Q29" s="148">
        <f t="shared" si="16"/>
        <v>0</v>
      </c>
      <c r="R29" s="148">
        <f t="shared" si="16"/>
        <v>0</v>
      </c>
      <c r="S29" s="148">
        <f t="shared" si="16"/>
        <v>14000</v>
      </c>
      <c r="T29" s="151"/>
      <c r="U29" s="151"/>
      <c r="V29" s="172"/>
      <c r="W29" s="168"/>
      <c r="X29" s="565"/>
      <c r="Y29" s="565"/>
    </row>
    <row r="30" spans="1:25" s="564" customFormat="1" ht="31.5" x14ac:dyDescent="0.2">
      <c r="A30" s="270">
        <v>1</v>
      </c>
      <c r="B30" s="30" t="s">
        <v>303</v>
      </c>
      <c r="C30" s="265" t="s">
        <v>209</v>
      </c>
      <c r="D30" s="271"/>
      <c r="E30" s="40"/>
      <c r="F30" s="272">
        <v>1</v>
      </c>
      <c r="G30" s="273">
        <v>35000</v>
      </c>
      <c r="H30" s="560"/>
      <c r="I30" s="560"/>
      <c r="J30" s="560"/>
      <c r="K30" s="560"/>
      <c r="L30" s="560">
        <f t="shared" ref="L30" si="17">SUM(M30:R30)</f>
        <v>1000</v>
      </c>
      <c r="M30" s="560"/>
      <c r="N30" s="560"/>
      <c r="O30" s="560">
        <v>1000</v>
      </c>
      <c r="P30" s="560"/>
      <c r="Q30" s="560"/>
      <c r="R30" s="560"/>
      <c r="S30" s="559">
        <f t="shared" si="5"/>
        <v>1000</v>
      </c>
      <c r="T30" s="40"/>
      <c r="U30" s="40"/>
      <c r="V30" s="274"/>
      <c r="W30" s="275"/>
    </row>
    <row r="31" spans="1:25" s="564" customFormat="1" ht="47.25" x14ac:dyDescent="0.2">
      <c r="A31" s="270">
        <v>2</v>
      </c>
      <c r="B31" s="58" t="s">
        <v>135</v>
      </c>
      <c r="C31" s="265" t="s">
        <v>209</v>
      </c>
      <c r="D31" s="271"/>
      <c r="E31" s="40"/>
      <c r="F31" s="272">
        <v>1</v>
      </c>
      <c r="G31" s="273">
        <v>35000</v>
      </c>
      <c r="H31" s="560">
        <v>0</v>
      </c>
      <c r="I31" s="560"/>
      <c r="J31" s="560"/>
      <c r="K31" s="560"/>
      <c r="L31" s="560">
        <f>SUM(M31:R31)</f>
        <v>1000</v>
      </c>
      <c r="M31" s="560"/>
      <c r="N31" s="560"/>
      <c r="O31" s="560">
        <v>1000</v>
      </c>
      <c r="P31" s="560"/>
      <c r="Q31" s="560"/>
      <c r="R31" s="560"/>
      <c r="S31" s="559">
        <f t="shared" ref="S31" si="18">H31+L31</f>
        <v>1000</v>
      </c>
      <c r="T31" s="40"/>
      <c r="U31" s="40"/>
      <c r="V31" s="274"/>
      <c r="W31" s="275">
        <f>G31-H31</f>
        <v>35000</v>
      </c>
    </row>
    <row r="32" spans="1:25" ht="110.25" x14ac:dyDescent="0.2">
      <c r="A32" s="270">
        <v>3</v>
      </c>
      <c r="B32" s="276" t="s">
        <v>497</v>
      </c>
      <c r="C32" s="265" t="s">
        <v>209</v>
      </c>
      <c r="D32" s="271"/>
      <c r="E32" s="40"/>
      <c r="F32" s="272">
        <v>1</v>
      </c>
      <c r="G32" s="273">
        <v>238000</v>
      </c>
      <c r="H32" s="560">
        <f>10000-8000</f>
        <v>2000</v>
      </c>
      <c r="I32" s="560"/>
      <c r="J32" s="560"/>
      <c r="K32" s="560"/>
      <c r="L32" s="560">
        <f t="shared" ref="L32" si="19">SUM(M32:R32)</f>
        <v>10000</v>
      </c>
      <c r="M32" s="560"/>
      <c r="N32" s="560"/>
      <c r="O32" s="560">
        <v>10000</v>
      </c>
      <c r="P32" s="560"/>
      <c r="Q32" s="560"/>
      <c r="R32" s="560"/>
      <c r="S32" s="559">
        <f t="shared" ref="S32" si="20">H32+L32</f>
        <v>12000</v>
      </c>
      <c r="T32" s="40"/>
      <c r="U32" s="40"/>
    </row>
  </sheetData>
  <mergeCells count="31">
    <mergeCell ref="J7:J9"/>
    <mergeCell ref="K7:K9"/>
    <mergeCell ref="R1:T1"/>
    <mergeCell ref="U5:U9"/>
    <mergeCell ref="L5:R6"/>
    <mergeCell ref="L7:L9"/>
    <mergeCell ref="M7:R7"/>
    <mergeCell ref="M8:M9"/>
    <mergeCell ref="N8:N9"/>
    <mergeCell ref="O8:O9"/>
    <mergeCell ref="Q8:Q9"/>
    <mergeCell ref="R8:R9"/>
    <mergeCell ref="S5:S9"/>
    <mergeCell ref="P8:P9"/>
    <mergeCell ref="R4:T4"/>
    <mergeCell ref="W5:W9"/>
    <mergeCell ref="V5:V9"/>
    <mergeCell ref="A2:T2"/>
    <mergeCell ref="A3:T3"/>
    <mergeCell ref="A4:G4"/>
    <mergeCell ref="A5:A9"/>
    <mergeCell ref="B5:B9"/>
    <mergeCell ref="D5:D9"/>
    <mergeCell ref="E5:E9"/>
    <mergeCell ref="F5:F9"/>
    <mergeCell ref="G5:G9"/>
    <mergeCell ref="H5:H9"/>
    <mergeCell ref="T5:T9"/>
    <mergeCell ref="C5:C9"/>
    <mergeCell ref="I5:K6"/>
    <mergeCell ref="I7:I9"/>
  </mergeCells>
  <pageMargins left="0.43307086614173229" right="0.35433070866141736" top="0.41" bottom="0.49" header="0.31496062992125984" footer="0.31496062992125984"/>
  <pageSetup paperSize="9" scale="73" fitToHeight="0" orientation="landscape" r:id="rId1"/>
  <headerFooter>
    <oddFooter>&amp;A&amp;RPage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tabSelected="1" topLeftCell="B1" workbookViewId="0">
      <pane ySplit="9" topLeftCell="A35" activePane="bottomLeft" state="frozen"/>
      <selection pane="bottomLeft" activeCell="B44" sqref="B44"/>
    </sheetView>
  </sheetViews>
  <sheetFormatPr defaultRowHeight="12.75" x14ac:dyDescent="0.2"/>
  <cols>
    <col min="1" max="1" width="5.140625" style="17" customWidth="1"/>
    <col min="2" max="2" width="38" style="17" customWidth="1"/>
    <col min="3" max="3" width="19.42578125" style="17" customWidth="1"/>
    <col min="4" max="4" width="14.28515625" style="17" customWidth="1"/>
    <col min="5" max="5" width="5.85546875" style="113" customWidth="1"/>
    <col min="6" max="6" width="5.140625" style="17" customWidth="1"/>
    <col min="7" max="7" width="12.5703125" style="17" customWidth="1"/>
    <col min="8" max="8" width="10" style="16" customWidth="1"/>
    <col min="9" max="11" width="10" style="16" hidden="1" customWidth="1"/>
    <col min="12" max="12" width="10" style="16" customWidth="1"/>
    <col min="13" max="13" width="8.28515625" style="16" customWidth="1"/>
    <col min="14" max="14" width="7.28515625" style="16" customWidth="1"/>
    <col min="15" max="16" width="10" style="16" customWidth="1"/>
    <col min="17" max="17" width="8.42578125" style="16" customWidth="1"/>
    <col min="18" max="18" width="8.28515625" style="16" customWidth="1"/>
    <col min="19" max="20" width="10" style="16" customWidth="1"/>
    <col min="21" max="21" width="12" style="114" hidden="1" customWidth="1"/>
    <col min="22" max="24" width="12.5703125" style="114" hidden="1" customWidth="1"/>
    <col min="25" max="25" width="20.140625" style="17" customWidth="1"/>
    <col min="26" max="26" width="10.42578125" style="17" bestFit="1" customWidth="1"/>
    <col min="27" max="27" width="14.140625" style="17" customWidth="1"/>
    <col min="28" max="251" width="9.140625" style="17"/>
    <col min="252" max="252" width="5.140625" style="17" customWidth="1"/>
    <col min="253" max="253" width="27.140625" style="17" customWidth="1"/>
    <col min="254" max="254" width="0" style="17" hidden="1" customWidth="1"/>
    <col min="255" max="255" width="5.85546875" style="17" customWidth="1"/>
    <col min="256" max="256" width="4.28515625" style="17" customWidth="1"/>
    <col min="257" max="257" width="12.5703125" style="17" customWidth="1"/>
    <col min="258" max="261" width="0" style="17" hidden="1" customWidth="1"/>
    <col min="262" max="262" width="10.140625" style="17" customWidth="1"/>
    <col min="263" max="263" width="11.7109375" style="17" customWidth="1"/>
    <col min="264" max="264" width="0" style="17" hidden="1" customWidth="1"/>
    <col min="265" max="265" width="8.5703125" style="17" customWidth="1"/>
    <col min="266" max="266" width="7.85546875" style="17" customWidth="1"/>
    <col min="267" max="267" width="9.5703125" style="17" customWidth="1"/>
    <col min="268" max="268" width="0" style="17" hidden="1" customWidth="1"/>
    <col min="269" max="269" width="8.140625" style="17" customWidth="1"/>
    <col min="270" max="270" width="9.5703125" style="17" customWidth="1"/>
    <col min="271" max="271" width="10.85546875" style="17" customWidth="1"/>
    <col min="272" max="278" width="10" style="17" customWidth="1"/>
    <col min="279" max="279" width="12" style="17" customWidth="1"/>
    <col min="280" max="280" width="12.5703125" style="17" customWidth="1"/>
    <col min="281" max="281" width="20.140625" style="17" customWidth="1"/>
    <col min="282" max="282" width="10.42578125" style="17" bestFit="1" customWidth="1"/>
    <col min="283" max="283" width="14.140625" style="17" customWidth="1"/>
    <col min="284" max="507" width="9.140625" style="17"/>
    <col min="508" max="508" width="5.140625" style="17" customWidth="1"/>
    <col min="509" max="509" width="27.140625" style="17" customWidth="1"/>
    <col min="510" max="510" width="0" style="17" hidden="1" customWidth="1"/>
    <col min="511" max="511" width="5.85546875" style="17" customWidth="1"/>
    <col min="512" max="512" width="4.28515625" style="17" customWidth="1"/>
    <col min="513" max="513" width="12.5703125" style="17" customWidth="1"/>
    <col min="514" max="517" width="0" style="17" hidden="1" customWidth="1"/>
    <col min="518" max="518" width="10.140625" style="17" customWidth="1"/>
    <col min="519" max="519" width="11.7109375" style="17" customWidth="1"/>
    <col min="520" max="520" width="0" style="17" hidden="1" customWidth="1"/>
    <col min="521" max="521" width="8.5703125" style="17" customWidth="1"/>
    <col min="522" max="522" width="7.85546875" style="17" customWidth="1"/>
    <col min="523" max="523" width="9.5703125" style="17" customWidth="1"/>
    <col min="524" max="524" width="0" style="17" hidden="1" customWidth="1"/>
    <col min="525" max="525" width="8.140625" style="17" customWidth="1"/>
    <col min="526" max="526" width="9.5703125" style="17" customWidth="1"/>
    <col min="527" max="527" width="10.85546875" style="17" customWidth="1"/>
    <col min="528" max="534" width="10" style="17" customWidth="1"/>
    <col min="535" max="535" width="12" style="17" customWidth="1"/>
    <col min="536" max="536" width="12.5703125" style="17" customWidth="1"/>
    <col min="537" max="537" width="20.140625" style="17" customWidth="1"/>
    <col min="538" max="538" width="10.42578125" style="17" bestFit="1" customWidth="1"/>
    <col min="539" max="539" width="14.140625" style="17" customWidth="1"/>
    <col min="540" max="763" width="9.140625" style="17"/>
    <col min="764" max="764" width="5.140625" style="17" customWidth="1"/>
    <col min="765" max="765" width="27.140625" style="17" customWidth="1"/>
    <col min="766" max="766" width="0" style="17" hidden="1" customWidth="1"/>
    <col min="767" max="767" width="5.85546875" style="17" customWidth="1"/>
    <col min="768" max="768" width="4.28515625" style="17" customWidth="1"/>
    <col min="769" max="769" width="12.5703125" style="17" customWidth="1"/>
    <col min="770" max="773" width="0" style="17" hidden="1" customWidth="1"/>
    <col min="774" max="774" width="10.140625" style="17" customWidth="1"/>
    <col min="775" max="775" width="11.7109375" style="17" customWidth="1"/>
    <col min="776" max="776" width="0" style="17" hidden="1" customWidth="1"/>
    <col min="777" max="777" width="8.5703125" style="17" customWidth="1"/>
    <col min="778" max="778" width="7.85546875" style="17" customWidth="1"/>
    <col min="779" max="779" width="9.5703125" style="17" customWidth="1"/>
    <col min="780" max="780" width="0" style="17" hidden="1" customWidth="1"/>
    <col min="781" max="781" width="8.140625" style="17" customWidth="1"/>
    <col min="782" max="782" width="9.5703125" style="17" customWidth="1"/>
    <col min="783" max="783" width="10.85546875" style="17" customWidth="1"/>
    <col min="784" max="790" width="10" style="17" customWidth="1"/>
    <col min="791" max="791" width="12" style="17" customWidth="1"/>
    <col min="792" max="792" width="12.5703125" style="17" customWidth="1"/>
    <col min="793" max="793" width="20.140625" style="17" customWidth="1"/>
    <col min="794" max="794" width="10.42578125" style="17" bestFit="1" customWidth="1"/>
    <col min="795" max="795" width="14.140625" style="17" customWidth="1"/>
    <col min="796" max="1019" width="9.140625" style="17"/>
    <col min="1020" max="1020" width="5.140625" style="17" customWidth="1"/>
    <col min="1021" max="1021" width="27.140625" style="17" customWidth="1"/>
    <col min="1022" max="1022" width="0" style="17" hidden="1" customWidth="1"/>
    <col min="1023" max="1023" width="5.85546875" style="17" customWidth="1"/>
    <col min="1024" max="1024" width="4.28515625" style="17" customWidth="1"/>
    <col min="1025" max="1025" width="12.5703125" style="17" customWidth="1"/>
    <col min="1026" max="1029" width="0" style="17" hidden="1" customWidth="1"/>
    <col min="1030" max="1030" width="10.140625" style="17" customWidth="1"/>
    <col min="1031" max="1031" width="11.7109375" style="17" customWidth="1"/>
    <col min="1032" max="1032" width="0" style="17" hidden="1" customWidth="1"/>
    <col min="1033" max="1033" width="8.5703125" style="17" customWidth="1"/>
    <col min="1034" max="1034" width="7.85546875" style="17" customWidth="1"/>
    <col min="1035" max="1035" width="9.5703125" style="17" customWidth="1"/>
    <col min="1036" max="1036" width="0" style="17" hidden="1" customWidth="1"/>
    <col min="1037" max="1037" width="8.140625" style="17" customWidth="1"/>
    <col min="1038" max="1038" width="9.5703125" style="17" customWidth="1"/>
    <col min="1039" max="1039" width="10.85546875" style="17" customWidth="1"/>
    <col min="1040" max="1046" width="10" style="17" customWidth="1"/>
    <col min="1047" max="1047" width="12" style="17" customWidth="1"/>
    <col min="1048" max="1048" width="12.5703125" style="17" customWidth="1"/>
    <col min="1049" max="1049" width="20.140625" style="17" customWidth="1"/>
    <col min="1050" max="1050" width="10.42578125" style="17" bestFit="1" customWidth="1"/>
    <col min="1051" max="1051" width="14.140625" style="17" customWidth="1"/>
    <col min="1052" max="1275" width="9.140625" style="17"/>
    <col min="1276" max="1276" width="5.140625" style="17" customWidth="1"/>
    <col min="1277" max="1277" width="27.140625" style="17" customWidth="1"/>
    <col min="1278" max="1278" width="0" style="17" hidden="1" customWidth="1"/>
    <col min="1279" max="1279" width="5.85546875" style="17" customWidth="1"/>
    <col min="1280" max="1280" width="4.28515625" style="17" customWidth="1"/>
    <col min="1281" max="1281" width="12.5703125" style="17" customWidth="1"/>
    <col min="1282" max="1285" width="0" style="17" hidden="1" customWidth="1"/>
    <col min="1286" max="1286" width="10.140625" style="17" customWidth="1"/>
    <col min="1287" max="1287" width="11.7109375" style="17" customWidth="1"/>
    <col min="1288" max="1288" width="0" style="17" hidden="1" customWidth="1"/>
    <col min="1289" max="1289" width="8.5703125" style="17" customWidth="1"/>
    <col min="1290" max="1290" width="7.85546875" style="17" customWidth="1"/>
    <col min="1291" max="1291" width="9.5703125" style="17" customWidth="1"/>
    <col min="1292" max="1292" width="0" style="17" hidden="1" customWidth="1"/>
    <col min="1293" max="1293" width="8.140625" style="17" customWidth="1"/>
    <col min="1294" max="1294" width="9.5703125" style="17" customWidth="1"/>
    <col min="1295" max="1295" width="10.85546875" style="17" customWidth="1"/>
    <col min="1296" max="1302" width="10" style="17" customWidth="1"/>
    <col min="1303" max="1303" width="12" style="17" customWidth="1"/>
    <col min="1304" max="1304" width="12.5703125" style="17" customWidth="1"/>
    <col min="1305" max="1305" width="20.140625" style="17" customWidth="1"/>
    <col min="1306" max="1306" width="10.42578125" style="17" bestFit="1" customWidth="1"/>
    <col min="1307" max="1307" width="14.140625" style="17" customWidth="1"/>
    <col min="1308" max="1531" width="9.140625" style="17"/>
    <col min="1532" max="1532" width="5.140625" style="17" customWidth="1"/>
    <col min="1533" max="1533" width="27.140625" style="17" customWidth="1"/>
    <col min="1534" max="1534" width="0" style="17" hidden="1" customWidth="1"/>
    <col min="1535" max="1535" width="5.85546875" style="17" customWidth="1"/>
    <col min="1536" max="1536" width="4.28515625" style="17" customWidth="1"/>
    <col min="1537" max="1537" width="12.5703125" style="17" customWidth="1"/>
    <col min="1538" max="1541" width="0" style="17" hidden="1" customWidth="1"/>
    <col min="1542" max="1542" width="10.140625" style="17" customWidth="1"/>
    <col min="1543" max="1543" width="11.7109375" style="17" customWidth="1"/>
    <col min="1544" max="1544" width="0" style="17" hidden="1" customWidth="1"/>
    <col min="1545" max="1545" width="8.5703125" style="17" customWidth="1"/>
    <col min="1546" max="1546" width="7.85546875" style="17" customWidth="1"/>
    <col min="1547" max="1547" width="9.5703125" style="17" customWidth="1"/>
    <col min="1548" max="1548" width="0" style="17" hidden="1" customWidth="1"/>
    <col min="1549" max="1549" width="8.140625" style="17" customWidth="1"/>
    <col min="1550" max="1550" width="9.5703125" style="17" customWidth="1"/>
    <col min="1551" max="1551" width="10.85546875" style="17" customWidth="1"/>
    <col min="1552" max="1558" width="10" style="17" customWidth="1"/>
    <col min="1559" max="1559" width="12" style="17" customWidth="1"/>
    <col min="1560" max="1560" width="12.5703125" style="17" customWidth="1"/>
    <col min="1561" max="1561" width="20.140625" style="17" customWidth="1"/>
    <col min="1562" max="1562" width="10.42578125" style="17" bestFit="1" customWidth="1"/>
    <col min="1563" max="1563" width="14.140625" style="17" customWidth="1"/>
    <col min="1564" max="1787" width="9.140625" style="17"/>
    <col min="1788" max="1788" width="5.140625" style="17" customWidth="1"/>
    <col min="1789" max="1789" width="27.140625" style="17" customWidth="1"/>
    <col min="1790" max="1790" width="0" style="17" hidden="1" customWidth="1"/>
    <col min="1791" max="1791" width="5.85546875" style="17" customWidth="1"/>
    <col min="1792" max="1792" width="4.28515625" style="17" customWidth="1"/>
    <col min="1793" max="1793" width="12.5703125" style="17" customWidth="1"/>
    <col min="1794" max="1797" width="0" style="17" hidden="1" customWidth="1"/>
    <col min="1798" max="1798" width="10.140625" style="17" customWidth="1"/>
    <col min="1799" max="1799" width="11.7109375" style="17" customWidth="1"/>
    <col min="1800" max="1800" width="0" style="17" hidden="1" customWidth="1"/>
    <col min="1801" max="1801" width="8.5703125" style="17" customWidth="1"/>
    <col min="1802" max="1802" width="7.85546875" style="17" customWidth="1"/>
    <col min="1803" max="1803" width="9.5703125" style="17" customWidth="1"/>
    <col min="1804" max="1804" width="0" style="17" hidden="1" customWidth="1"/>
    <col min="1805" max="1805" width="8.140625" style="17" customWidth="1"/>
    <col min="1806" max="1806" width="9.5703125" style="17" customWidth="1"/>
    <col min="1807" max="1807" width="10.85546875" style="17" customWidth="1"/>
    <col min="1808" max="1814" width="10" style="17" customWidth="1"/>
    <col min="1815" max="1815" width="12" style="17" customWidth="1"/>
    <col min="1816" max="1816" width="12.5703125" style="17" customWidth="1"/>
    <col min="1817" max="1817" width="20.140625" style="17" customWidth="1"/>
    <col min="1818" max="1818" width="10.42578125" style="17" bestFit="1" customWidth="1"/>
    <col min="1819" max="1819" width="14.140625" style="17" customWidth="1"/>
    <col min="1820" max="2043" width="9.140625" style="17"/>
    <col min="2044" max="2044" width="5.140625" style="17" customWidth="1"/>
    <col min="2045" max="2045" width="27.140625" style="17" customWidth="1"/>
    <col min="2046" max="2046" width="0" style="17" hidden="1" customWidth="1"/>
    <col min="2047" max="2047" width="5.85546875" style="17" customWidth="1"/>
    <col min="2048" max="2048" width="4.28515625" style="17" customWidth="1"/>
    <col min="2049" max="2049" width="12.5703125" style="17" customWidth="1"/>
    <col min="2050" max="2053" width="0" style="17" hidden="1" customWidth="1"/>
    <col min="2054" max="2054" width="10.140625" style="17" customWidth="1"/>
    <col min="2055" max="2055" width="11.7109375" style="17" customWidth="1"/>
    <col min="2056" max="2056" width="0" style="17" hidden="1" customWidth="1"/>
    <col min="2057" max="2057" width="8.5703125" style="17" customWidth="1"/>
    <col min="2058" max="2058" width="7.85546875" style="17" customWidth="1"/>
    <col min="2059" max="2059" width="9.5703125" style="17" customWidth="1"/>
    <col min="2060" max="2060" width="0" style="17" hidden="1" customWidth="1"/>
    <col min="2061" max="2061" width="8.140625" style="17" customWidth="1"/>
    <col min="2062" max="2062" width="9.5703125" style="17" customWidth="1"/>
    <col min="2063" max="2063" width="10.85546875" style="17" customWidth="1"/>
    <col min="2064" max="2070" width="10" style="17" customWidth="1"/>
    <col min="2071" max="2071" width="12" style="17" customWidth="1"/>
    <col min="2072" max="2072" width="12.5703125" style="17" customWidth="1"/>
    <col min="2073" max="2073" width="20.140625" style="17" customWidth="1"/>
    <col min="2074" max="2074" width="10.42578125" style="17" bestFit="1" customWidth="1"/>
    <col min="2075" max="2075" width="14.140625" style="17" customWidth="1"/>
    <col min="2076" max="2299" width="9.140625" style="17"/>
    <col min="2300" max="2300" width="5.140625" style="17" customWidth="1"/>
    <col min="2301" max="2301" width="27.140625" style="17" customWidth="1"/>
    <col min="2302" max="2302" width="0" style="17" hidden="1" customWidth="1"/>
    <col min="2303" max="2303" width="5.85546875" style="17" customWidth="1"/>
    <col min="2304" max="2304" width="4.28515625" style="17" customWidth="1"/>
    <col min="2305" max="2305" width="12.5703125" style="17" customWidth="1"/>
    <col min="2306" max="2309" width="0" style="17" hidden="1" customWidth="1"/>
    <col min="2310" max="2310" width="10.140625" style="17" customWidth="1"/>
    <col min="2311" max="2311" width="11.7109375" style="17" customWidth="1"/>
    <col min="2312" max="2312" width="0" style="17" hidden="1" customWidth="1"/>
    <col min="2313" max="2313" width="8.5703125" style="17" customWidth="1"/>
    <col min="2314" max="2314" width="7.85546875" style="17" customWidth="1"/>
    <col min="2315" max="2315" width="9.5703125" style="17" customWidth="1"/>
    <col min="2316" max="2316" width="0" style="17" hidden="1" customWidth="1"/>
    <col min="2317" max="2317" width="8.140625" style="17" customWidth="1"/>
    <col min="2318" max="2318" width="9.5703125" style="17" customWidth="1"/>
    <col min="2319" max="2319" width="10.85546875" style="17" customWidth="1"/>
    <col min="2320" max="2326" width="10" style="17" customWidth="1"/>
    <col min="2327" max="2327" width="12" style="17" customWidth="1"/>
    <col min="2328" max="2328" width="12.5703125" style="17" customWidth="1"/>
    <col min="2329" max="2329" width="20.140625" style="17" customWidth="1"/>
    <col min="2330" max="2330" width="10.42578125" style="17" bestFit="1" customWidth="1"/>
    <col min="2331" max="2331" width="14.140625" style="17" customWidth="1"/>
    <col min="2332" max="2555" width="9.140625" style="17"/>
    <col min="2556" max="2556" width="5.140625" style="17" customWidth="1"/>
    <col min="2557" max="2557" width="27.140625" style="17" customWidth="1"/>
    <col min="2558" max="2558" width="0" style="17" hidden="1" customWidth="1"/>
    <col min="2559" max="2559" width="5.85546875" style="17" customWidth="1"/>
    <col min="2560" max="2560" width="4.28515625" style="17" customWidth="1"/>
    <col min="2561" max="2561" width="12.5703125" style="17" customWidth="1"/>
    <col min="2562" max="2565" width="0" style="17" hidden="1" customWidth="1"/>
    <col min="2566" max="2566" width="10.140625" style="17" customWidth="1"/>
    <col min="2567" max="2567" width="11.7109375" style="17" customWidth="1"/>
    <col min="2568" max="2568" width="0" style="17" hidden="1" customWidth="1"/>
    <col min="2569" max="2569" width="8.5703125" style="17" customWidth="1"/>
    <col min="2570" max="2570" width="7.85546875" style="17" customWidth="1"/>
    <col min="2571" max="2571" width="9.5703125" style="17" customWidth="1"/>
    <col min="2572" max="2572" width="0" style="17" hidden="1" customWidth="1"/>
    <col min="2573" max="2573" width="8.140625" style="17" customWidth="1"/>
    <col min="2574" max="2574" width="9.5703125" style="17" customWidth="1"/>
    <col min="2575" max="2575" width="10.85546875" style="17" customWidth="1"/>
    <col min="2576" max="2582" width="10" style="17" customWidth="1"/>
    <col min="2583" max="2583" width="12" style="17" customWidth="1"/>
    <col min="2584" max="2584" width="12.5703125" style="17" customWidth="1"/>
    <col min="2585" max="2585" width="20.140625" style="17" customWidth="1"/>
    <col min="2586" max="2586" width="10.42578125" style="17" bestFit="1" customWidth="1"/>
    <col min="2587" max="2587" width="14.140625" style="17" customWidth="1"/>
    <col min="2588" max="2811" width="9.140625" style="17"/>
    <col min="2812" max="2812" width="5.140625" style="17" customWidth="1"/>
    <col min="2813" max="2813" width="27.140625" style="17" customWidth="1"/>
    <col min="2814" max="2814" width="0" style="17" hidden="1" customWidth="1"/>
    <col min="2815" max="2815" width="5.85546875" style="17" customWidth="1"/>
    <col min="2816" max="2816" width="4.28515625" style="17" customWidth="1"/>
    <col min="2817" max="2817" width="12.5703125" style="17" customWidth="1"/>
    <col min="2818" max="2821" width="0" style="17" hidden="1" customWidth="1"/>
    <col min="2822" max="2822" width="10.140625" style="17" customWidth="1"/>
    <col min="2823" max="2823" width="11.7109375" style="17" customWidth="1"/>
    <col min="2824" max="2824" width="0" style="17" hidden="1" customWidth="1"/>
    <col min="2825" max="2825" width="8.5703125" style="17" customWidth="1"/>
    <col min="2826" max="2826" width="7.85546875" style="17" customWidth="1"/>
    <col min="2827" max="2827" width="9.5703125" style="17" customWidth="1"/>
    <col min="2828" max="2828" width="0" style="17" hidden="1" customWidth="1"/>
    <col min="2829" max="2829" width="8.140625" style="17" customWidth="1"/>
    <col min="2830" max="2830" width="9.5703125" style="17" customWidth="1"/>
    <col min="2831" max="2831" width="10.85546875" style="17" customWidth="1"/>
    <col min="2832" max="2838" width="10" style="17" customWidth="1"/>
    <col min="2839" max="2839" width="12" style="17" customWidth="1"/>
    <col min="2840" max="2840" width="12.5703125" style="17" customWidth="1"/>
    <col min="2841" max="2841" width="20.140625" style="17" customWidth="1"/>
    <col min="2842" max="2842" width="10.42578125" style="17" bestFit="1" customWidth="1"/>
    <col min="2843" max="2843" width="14.140625" style="17" customWidth="1"/>
    <col min="2844" max="3067" width="9.140625" style="17"/>
    <col min="3068" max="3068" width="5.140625" style="17" customWidth="1"/>
    <col min="3069" max="3069" width="27.140625" style="17" customWidth="1"/>
    <col min="3070" max="3070" width="0" style="17" hidden="1" customWidth="1"/>
    <col min="3071" max="3071" width="5.85546875" style="17" customWidth="1"/>
    <col min="3072" max="3072" width="4.28515625" style="17" customWidth="1"/>
    <col min="3073" max="3073" width="12.5703125" style="17" customWidth="1"/>
    <col min="3074" max="3077" width="0" style="17" hidden="1" customWidth="1"/>
    <col min="3078" max="3078" width="10.140625" style="17" customWidth="1"/>
    <col min="3079" max="3079" width="11.7109375" style="17" customWidth="1"/>
    <col min="3080" max="3080" width="0" style="17" hidden="1" customWidth="1"/>
    <col min="3081" max="3081" width="8.5703125" style="17" customWidth="1"/>
    <col min="3082" max="3082" width="7.85546875" style="17" customWidth="1"/>
    <col min="3083" max="3083" width="9.5703125" style="17" customWidth="1"/>
    <col min="3084" max="3084" width="0" style="17" hidden="1" customWidth="1"/>
    <col min="3085" max="3085" width="8.140625" style="17" customWidth="1"/>
    <col min="3086" max="3086" width="9.5703125" style="17" customWidth="1"/>
    <col min="3087" max="3087" width="10.85546875" style="17" customWidth="1"/>
    <col min="3088" max="3094" width="10" style="17" customWidth="1"/>
    <col min="3095" max="3095" width="12" style="17" customWidth="1"/>
    <col min="3096" max="3096" width="12.5703125" style="17" customWidth="1"/>
    <col min="3097" max="3097" width="20.140625" style="17" customWidth="1"/>
    <col min="3098" max="3098" width="10.42578125" style="17" bestFit="1" customWidth="1"/>
    <col min="3099" max="3099" width="14.140625" style="17" customWidth="1"/>
    <col min="3100" max="3323" width="9.140625" style="17"/>
    <col min="3324" max="3324" width="5.140625" style="17" customWidth="1"/>
    <col min="3325" max="3325" width="27.140625" style="17" customWidth="1"/>
    <col min="3326" max="3326" width="0" style="17" hidden="1" customWidth="1"/>
    <col min="3327" max="3327" width="5.85546875" style="17" customWidth="1"/>
    <col min="3328" max="3328" width="4.28515625" style="17" customWidth="1"/>
    <col min="3329" max="3329" width="12.5703125" style="17" customWidth="1"/>
    <col min="3330" max="3333" width="0" style="17" hidden="1" customWidth="1"/>
    <col min="3334" max="3334" width="10.140625" style="17" customWidth="1"/>
    <col min="3335" max="3335" width="11.7109375" style="17" customWidth="1"/>
    <col min="3336" max="3336" width="0" style="17" hidden="1" customWidth="1"/>
    <col min="3337" max="3337" width="8.5703125" style="17" customWidth="1"/>
    <col min="3338" max="3338" width="7.85546875" style="17" customWidth="1"/>
    <col min="3339" max="3339" width="9.5703125" style="17" customWidth="1"/>
    <col min="3340" max="3340" width="0" style="17" hidden="1" customWidth="1"/>
    <col min="3341" max="3341" width="8.140625" style="17" customWidth="1"/>
    <col min="3342" max="3342" width="9.5703125" style="17" customWidth="1"/>
    <col min="3343" max="3343" width="10.85546875" style="17" customWidth="1"/>
    <col min="3344" max="3350" width="10" style="17" customWidth="1"/>
    <col min="3351" max="3351" width="12" style="17" customWidth="1"/>
    <col min="3352" max="3352" width="12.5703125" style="17" customWidth="1"/>
    <col min="3353" max="3353" width="20.140625" style="17" customWidth="1"/>
    <col min="3354" max="3354" width="10.42578125" style="17" bestFit="1" customWidth="1"/>
    <col min="3355" max="3355" width="14.140625" style="17" customWidth="1"/>
    <col min="3356" max="3579" width="9.140625" style="17"/>
    <col min="3580" max="3580" width="5.140625" style="17" customWidth="1"/>
    <col min="3581" max="3581" width="27.140625" style="17" customWidth="1"/>
    <col min="3582" max="3582" width="0" style="17" hidden="1" customWidth="1"/>
    <col min="3583" max="3583" width="5.85546875" style="17" customWidth="1"/>
    <col min="3584" max="3584" width="4.28515625" style="17" customWidth="1"/>
    <col min="3585" max="3585" width="12.5703125" style="17" customWidth="1"/>
    <col min="3586" max="3589" width="0" style="17" hidden="1" customWidth="1"/>
    <col min="3590" max="3590" width="10.140625" style="17" customWidth="1"/>
    <col min="3591" max="3591" width="11.7109375" style="17" customWidth="1"/>
    <col min="3592" max="3592" width="0" style="17" hidden="1" customWidth="1"/>
    <col min="3593" max="3593" width="8.5703125" style="17" customWidth="1"/>
    <col min="3594" max="3594" width="7.85546875" style="17" customWidth="1"/>
    <col min="3595" max="3595" width="9.5703125" style="17" customWidth="1"/>
    <col min="3596" max="3596" width="0" style="17" hidden="1" customWidth="1"/>
    <col min="3597" max="3597" width="8.140625" style="17" customWidth="1"/>
    <col min="3598" max="3598" width="9.5703125" style="17" customWidth="1"/>
    <col min="3599" max="3599" width="10.85546875" style="17" customWidth="1"/>
    <col min="3600" max="3606" width="10" style="17" customWidth="1"/>
    <col min="3607" max="3607" width="12" style="17" customWidth="1"/>
    <col min="3608" max="3608" width="12.5703125" style="17" customWidth="1"/>
    <col min="3609" max="3609" width="20.140625" style="17" customWidth="1"/>
    <col min="3610" max="3610" width="10.42578125" style="17" bestFit="1" customWidth="1"/>
    <col min="3611" max="3611" width="14.140625" style="17" customWidth="1"/>
    <col min="3612" max="3835" width="9.140625" style="17"/>
    <col min="3836" max="3836" width="5.140625" style="17" customWidth="1"/>
    <col min="3837" max="3837" width="27.140625" style="17" customWidth="1"/>
    <col min="3838" max="3838" width="0" style="17" hidden="1" customWidth="1"/>
    <col min="3839" max="3839" width="5.85546875" style="17" customWidth="1"/>
    <col min="3840" max="3840" width="4.28515625" style="17" customWidth="1"/>
    <col min="3841" max="3841" width="12.5703125" style="17" customWidth="1"/>
    <col min="3842" max="3845" width="0" style="17" hidden="1" customWidth="1"/>
    <col min="3846" max="3846" width="10.140625" style="17" customWidth="1"/>
    <col min="3847" max="3847" width="11.7109375" style="17" customWidth="1"/>
    <col min="3848" max="3848" width="0" style="17" hidden="1" customWidth="1"/>
    <col min="3849" max="3849" width="8.5703125" style="17" customWidth="1"/>
    <col min="3850" max="3850" width="7.85546875" style="17" customWidth="1"/>
    <col min="3851" max="3851" width="9.5703125" style="17" customWidth="1"/>
    <col min="3852" max="3852" width="0" style="17" hidden="1" customWidth="1"/>
    <col min="3853" max="3853" width="8.140625" style="17" customWidth="1"/>
    <col min="3854" max="3854" width="9.5703125" style="17" customWidth="1"/>
    <col min="3855" max="3855" width="10.85546875" style="17" customWidth="1"/>
    <col min="3856" max="3862" width="10" style="17" customWidth="1"/>
    <col min="3863" max="3863" width="12" style="17" customWidth="1"/>
    <col min="3864" max="3864" width="12.5703125" style="17" customWidth="1"/>
    <col min="3865" max="3865" width="20.140625" style="17" customWidth="1"/>
    <col min="3866" max="3866" width="10.42578125" style="17" bestFit="1" customWidth="1"/>
    <col min="3867" max="3867" width="14.140625" style="17" customWidth="1"/>
    <col min="3868" max="4091" width="9.140625" style="17"/>
    <col min="4092" max="4092" width="5.140625" style="17" customWidth="1"/>
    <col min="4093" max="4093" width="27.140625" style="17" customWidth="1"/>
    <col min="4094" max="4094" width="0" style="17" hidden="1" customWidth="1"/>
    <col min="4095" max="4095" width="5.85546875" style="17" customWidth="1"/>
    <col min="4096" max="4096" width="4.28515625" style="17" customWidth="1"/>
    <col min="4097" max="4097" width="12.5703125" style="17" customWidth="1"/>
    <col min="4098" max="4101" width="0" style="17" hidden="1" customWidth="1"/>
    <col min="4102" max="4102" width="10.140625" style="17" customWidth="1"/>
    <col min="4103" max="4103" width="11.7109375" style="17" customWidth="1"/>
    <col min="4104" max="4104" width="0" style="17" hidden="1" customWidth="1"/>
    <col min="4105" max="4105" width="8.5703125" style="17" customWidth="1"/>
    <col min="4106" max="4106" width="7.85546875" style="17" customWidth="1"/>
    <col min="4107" max="4107" width="9.5703125" style="17" customWidth="1"/>
    <col min="4108" max="4108" width="0" style="17" hidden="1" customWidth="1"/>
    <col min="4109" max="4109" width="8.140625" style="17" customWidth="1"/>
    <col min="4110" max="4110" width="9.5703125" style="17" customWidth="1"/>
    <col min="4111" max="4111" width="10.85546875" style="17" customWidth="1"/>
    <col min="4112" max="4118" width="10" style="17" customWidth="1"/>
    <col min="4119" max="4119" width="12" style="17" customWidth="1"/>
    <col min="4120" max="4120" width="12.5703125" style="17" customWidth="1"/>
    <col min="4121" max="4121" width="20.140625" style="17" customWidth="1"/>
    <col min="4122" max="4122" width="10.42578125" style="17" bestFit="1" customWidth="1"/>
    <col min="4123" max="4123" width="14.140625" style="17" customWidth="1"/>
    <col min="4124" max="4347" width="9.140625" style="17"/>
    <col min="4348" max="4348" width="5.140625" style="17" customWidth="1"/>
    <col min="4349" max="4349" width="27.140625" style="17" customWidth="1"/>
    <col min="4350" max="4350" width="0" style="17" hidden="1" customWidth="1"/>
    <col min="4351" max="4351" width="5.85546875" style="17" customWidth="1"/>
    <col min="4352" max="4352" width="4.28515625" style="17" customWidth="1"/>
    <col min="4353" max="4353" width="12.5703125" style="17" customWidth="1"/>
    <col min="4354" max="4357" width="0" style="17" hidden="1" customWidth="1"/>
    <col min="4358" max="4358" width="10.140625" style="17" customWidth="1"/>
    <col min="4359" max="4359" width="11.7109375" style="17" customWidth="1"/>
    <col min="4360" max="4360" width="0" style="17" hidden="1" customWidth="1"/>
    <col min="4361" max="4361" width="8.5703125" style="17" customWidth="1"/>
    <col min="4362" max="4362" width="7.85546875" style="17" customWidth="1"/>
    <col min="4363" max="4363" width="9.5703125" style="17" customWidth="1"/>
    <col min="4364" max="4364" width="0" style="17" hidden="1" customWidth="1"/>
    <col min="4365" max="4365" width="8.140625" style="17" customWidth="1"/>
    <col min="4366" max="4366" width="9.5703125" style="17" customWidth="1"/>
    <col min="4367" max="4367" width="10.85546875" style="17" customWidth="1"/>
    <col min="4368" max="4374" width="10" style="17" customWidth="1"/>
    <col min="4375" max="4375" width="12" style="17" customWidth="1"/>
    <col min="4376" max="4376" width="12.5703125" style="17" customWidth="1"/>
    <col min="4377" max="4377" width="20.140625" style="17" customWidth="1"/>
    <col min="4378" max="4378" width="10.42578125" style="17" bestFit="1" customWidth="1"/>
    <col min="4379" max="4379" width="14.140625" style="17" customWidth="1"/>
    <col min="4380" max="4603" width="9.140625" style="17"/>
    <col min="4604" max="4604" width="5.140625" style="17" customWidth="1"/>
    <col min="4605" max="4605" width="27.140625" style="17" customWidth="1"/>
    <col min="4606" max="4606" width="0" style="17" hidden="1" customWidth="1"/>
    <col min="4607" max="4607" width="5.85546875" style="17" customWidth="1"/>
    <col min="4608" max="4608" width="4.28515625" style="17" customWidth="1"/>
    <col min="4609" max="4609" width="12.5703125" style="17" customWidth="1"/>
    <col min="4610" max="4613" width="0" style="17" hidden="1" customWidth="1"/>
    <col min="4614" max="4614" width="10.140625" style="17" customWidth="1"/>
    <col min="4615" max="4615" width="11.7109375" style="17" customWidth="1"/>
    <col min="4616" max="4616" width="0" style="17" hidden="1" customWidth="1"/>
    <col min="4617" max="4617" width="8.5703125" style="17" customWidth="1"/>
    <col min="4618" max="4618" width="7.85546875" style="17" customWidth="1"/>
    <col min="4619" max="4619" width="9.5703125" style="17" customWidth="1"/>
    <col min="4620" max="4620" width="0" style="17" hidden="1" customWidth="1"/>
    <col min="4621" max="4621" width="8.140625" style="17" customWidth="1"/>
    <col min="4622" max="4622" width="9.5703125" style="17" customWidth="1"/>
    <col min="4623" max="4623" width="10.85546875" style="17" customWidth="1"/>
    <col min="4624" max="4630" width="10" style="17" customWidth="1"/>
    <col min="4631" max="4631" width="12" style="17" customWidth="1"/>
    <col min="4632" max="4632" width="12.5703125" style="17" customWidth="1"/>
    <col min="4633" max="4633" width="20.140625" style="17" customWidth="1"/>
    <col min="4634" max="4634" width="10.42578125" style="17" bestFit="1" customWidth="1"/>
    <col min="4635" max="4635" width="14.140625" style="17" customWidth="1"/>
    <col min="4636" max="4859" width="9.140625" style="17"/>
    <col min="4860" max="4860" width="5.140625" style="17" customWidth="1"/>
    <col min="4861" max="4861" width="27.140625" style="17" customWidth="1"/>
    <col min="4862" max="4862" width="0" style="17" hidden="1" customWidth="1"/>
    <col min="4863" max="4863" width="5.85546875" style="17" customWidth="1"/>
    <col min="4864" max="4864" width="4.28515625" style="17" customWidth="1"/>
    <col min="4865" max="4865" width="12.5703125" style="17" customWidth="1"/>
    <col min="4866" max="4869" width="0" style="17" hidden="1" customWidth="1"/>
    <col min="4870" max="4870" width="10.140625" style="17" customWidth="1"/>
    <col min="4871" max="4871" width="11.7109375" style="17" customWidth="1"/>
    <col min="4872" max="4872" width="0" style="17" hidden="1" customWidth="1"/>
    <col min="4873" max="4873" width="8.5703125" style="17" customWidth="1"/>
    <col min="4874" max="4874" width="7.85546875" style="17" customWidth="1"/>
    <col min="4875" max="4875" width="9.5703125" style="17" customWidth="1"/>
    <col min="4876" max="4876" width="0" style="17" hidden="1" customWidth="1"/>
    <col min="4877" max="4877" width="8.140625" style="17" customWidth="1"/>
    <col min="4878" max="4878" width="9.5703125" style="17" customWidth="1"/>
    <col min="4879" max="4879" width="10.85546875" style="17" customWidth="1"/>
    <col min="4880" max="4886" width="10" style="17" customWidth="1"/>
    <col min="4887" max="4887" width="12" style="17" customWidth="1"/>
    <col min="4888" max="4888" width="12.5703125" style="17" customWidth="1"/>
    <col min="4889" max="4889" width="20.140625" style="17" customWidth="1"/>
    <col min="4890" max="4890" width="10.42578125" style="17" bestFit="1" customWidth="1"/>
    <col min="4891" max="4891" width="14.140625" style="17" customWidth="1"/>
    <col min="4892" max="5115" width="9.140625" style="17"/>
    <col min="5116" max="5116" width="5.140625" style="17" customWidth="1"/>
    <col min="5117" max="5117" width="27.140625" style="17" customWidth="1"/>
    <col min="5118" max="5118" width="0" style="17" hidden="1" customWidth="1"/>
    <col min="5119" max="5119" width="5.85546875" style="17" customWidth="1"/>
    <col min="5120" max="5120" width="4.28515625" style="17" customWidth="1"/>
    <col min="5121" max="5121" width="12.5703125" style="17" customWidth="1"/>
    <col min="5122" max="5125" width="0" style="17" hidden="1" customWidth="1"/>
    <col min="5126" max="5126" width="10.140625" style="17" customWidth="1"/>
    <col min="5127" max="5127" width="11.7109375" style="17" customWidth="1"/>
    <col min="5128" max="5128" width="0" style="17" hidden="1" customWidth="1"/>
    <col min="5129" max="5129" width="8.5703125" style="17" customWidth="1"/>
    <col min="5130" max="5130" width="7.85546875" style="17" customWidth="1"/>
    <col min="5131" max="5131" width="9.5703125" style="17" customWidth="1"/>
    <col min="5132" max="5132" width="0" style="17" hidden="1" customWidth="1"/>
    <col min="5133" max="5133" width="8.140625" style="17" customWidth="1"/>
    <col min="5134" max="5134" width="9.5703125" style="17" customWidth="1"/>
    <col min="5135" max="5135" width="10.85546875" style="17" customWidth="1"/>
    <col min="5136" max="5142" width="10" style="17" customWidth="1"/>
    <col min="5143" max="5143" width="12" style="17" customWidth="1"/>
    <col min="5144" max="5144" width="12.5703125" style="17" customWidth="1"/>
    <col min="5145" max="5145" width="20.140625" style="17" customWidth="1"/>
    <col min="5146" max="5146" width="10.42578125" style="17" bestFit="1" customWidth="1"/>
    <col min="5147" max="5147" width="14.140625" style="17" customWidth="1"/>
    <col min="5148" max="5371" width="9.140625" style="17"/>
    <col min="5372" max="5372" width="5.140625" style="17" customWidth="1"/>
    <col min="5373" max="5373" width="27.140625" style="17" customWidth="1"/>
    <col min="5374" max="5374" width="0" style="17" hidden="1" customWidth="1"/>
    <col min="5375" max="5375" width="5.85546875" style="17" customWidth="1"/>
    <col min="5376" max="5376" width="4.28515625" style="17" customWidth="1"/>
    <col min="5377" max="5377" width="12.5703125" style="17" customWidth="1"/>
    <col min="5378" max="5381" width="0" style="17" hidden="1" customWidth="1"/>
    <col min="5382" max="5382" width="10.140625" style="17" customWidth="1"/>
    <col min="5383" max="5383" width="11.7109375" style="17" customWidth="1"/>
    <col min="5384" max="5384" width="0" style="17" hidden="1" customWidth="1"/>
    <col min="5385" max="5385" width="8.5703125" style="17" customWidth="1"/>
    <col min="5386" max="5386" width="7.85546875" style="17" customWidth="1"/>
    <col min="5387" max="5387" width="9.5703125" style="17" customWidth="1"/>
    <col min="5388" max="5388" width="0" style="17" hidden="1" customWidth="1"/>
    <col min="5389" max="5389" width="8.140625" style="17" customWidth="1"/>
    <col min="5390" max="5390" width="9.5703125" style="17" customWidth="1"/>
    <col min="5391" max="5391" width="10.85546875" style="17" customWidth="1"/>
    <col min="5392" max="5398" width="10" style="17" customWidth="1"/>
    <col min="5399" max="5399" width="12" style="17" customWidth="1"/>
    <col min="5400" max="5400" width="12.5703125" style="17" customWidth="1"/>
    <col min="5401" max="5401" width="20.140625" style="17" customWidth="1"/>
    <col min="5402" max="5402" width="10.42578125" style="17" bestFit="1" customWidth="1"/>
    <col min="5403" max="5403" width="14.140625" style="17" customWidth="1"/>
    <col min="5404" max="5627" width="9.140625" style="17"/>
    <col min="5628" max="5628" width="5.140625" style="17" customWidth="1"/>
    <col min="5629" max="5629" width="27.140625" style="17" customWidth="1"/>
    <col min="5630" max="5630" width="0" style="17" hidden="1" customWidth="1"/>
    <col min="5631" max="5631" width="5.85546875" style="17" customWidth="1"/>
    <col min="5632" max="5632" width="4.28515625" style="17" customWidth="1"/>
    <col min="5633" max="5633" width="12.5703125" style="17" customWidth="1"/>
    <col min="5634" max="5637" width="0" style="17" hidden="1" customWidth="1"/>
    <col min="5638" max="5638" width="10.140625" style="17" customWidth="1"/>
    <col min="5639" max="5639" width="11.7109375" style="17" customWidth="1"/>
    <col min="5640" max="5640" width="0" style="17" hidden="1" customWidth="1"/>
    <col min="5641" max="5641" width="8.5703125" style="17" customWidth="1"/>
    <col min="5642" max="5642" width="7.85546875" style="17" customWidth="1"/>
    <col min="5643" max="5643" width="9.5703125" style="17" customWidth="1"/>
    <col min="5644" max="5644" width="0" style="17" hidden="1" customWidth="1"/>
    <col min="5645" max="5645" width="8.140625" style="17" customWidth="1"/>
    <col min="5646" max="5646" width="9.5703125" style="17" customWidth="1"/>
    <col min="5647" max="5647" width="10.85546875" style="17" customWidth="1"/>
    <col min="5648" max="5654" width="10" style="17" customWidth="1"/>
    <col min="5655" max="5655" width="12" style="17" customWidth="1"/>
    <col min="5656" max="5656" width="12.5703125" style="17" customWidth="1"/>
    <col min="5657" max="5657" width="20.140625" style="17" customWidth="1"/>
    <col min="5658" max="5658" width="10.42578125" style="17" bestFit="1" customWidth="1"/>
    <col min="5659" max="5659" width="14.140625" style="17" customWidth="1"/>
    <col min="5660" max="5883" width="9.140625" style="17"/>
    <col min="5884" max="5884" width="5.140625" style="17" customWidth="1"/>
    <col min="5885" max="5885" width="27.140625" style="17" customWidth="1"/>
    <col min="5886" max="5886" width="0" style="17" hidden="1" customWidth="1"/>
    <col min="5887" max="5887" width="5.85546875" style="17" customWidth="1"/>
    <col min="5888" max="5888" width="4.28515625" style="17" customWidth="1"/>
    <col min="5889" max="5889" width="12.5703125" style="17" customWidth="1"/>
    <col min="5890" max="5893" width="0" style="17" hidden="1" customWidth="1"/>
    <col min="5894" max="5894" width="10.140625" style="17" customWidth="1"/>
    <col min="5895" max="5895" width="11.7109375" style="17" customWidth="1"/>
    <col min="5896" max="5896" width="0" style="17" hidden="1" customWidth="1"/>
    <col min="5897" max="5897" width="8.5703125" style="17" customWidth="1"/>
    <col min="5898" max="5898" width="7.85546875" style="17" customWidth="1"/>
    <col min="5899" max="5899" width="9.5703125" style="17" customWidth="1"/>
    <col min="5900" max="5900" width="0" style="17" hidden="1" customWidth="1"/>
    <col min="5901" max="5901" width="8.140625" style="17" customWidth="1"/>
    <col min="5902" max="5902" width="9.5703125" style="17" customWidth="1"/>
    <col min="5903" max="5903" width="10.85546875" style="17" customWidth="1"/>
    <col min="5904" max="5910" width="10" style="17" customWidth="1"/>
    <col min="5911" max="5911" width="12" style="17" customWidth="1"/>
    <col min="5912" max="5912" width="12.5703125" style="17" customWidth="1"/>
    <col min="5913" max="5913" width="20.140625" style="17" customWidth="1"/>
    <col min="5914" max="5914" width="10.42578125" style="17" bestFit="1" customWidth="1"/>
    <col min="5915" max="5915" width="14.140625" style="17" customWidth="1"/>
    <col min="5916" max="6139" width="9.140625" style="17"/>
    <col min="6140" max="6140" width="5.140625" style="17" customWidth="1"/>
    <col min="6141" max="6141" width="27.140625" style="17" customWidth="1"/>
    <col min="6142" max="6142" width="0" style="17" hidden="1" customWidth="1"/>
    <col min="6143" max="6143" width="5.85546875" style="17" customWidth="1"/>
    <col min="6144" max="6144" width="4.28515625" style="17" customWidth="1"/>
    <col min="6145" max="6145" width="12.5703125" style="17" customWidth="1"/>
    <col min="6146" max="6149" width="0" style="17" hidden="1" customWidth="1"/>
    <col min="6150" max="6150" width="10.140625" style="17" customWidth="1"/>
    <col min="6151" max="6151" width="11.7109375" style="17" customWidth="1"/>
    <col min="6152" max="6152" width="0" style="17" hidden="1" customWidth="1"/>
    <col min="6153" max="6153" width="8.5703125" style="17" customWidth="1"/>
    <col min="6154" max="6154" width="7.85546875" style="17" customWidth="1"/>
    <col min="6155" max="6155" width="9.5703125" style="17" customWidth="1"/>
    <col min="6156" max="6156" width="0" style="17" hidden="1" customWidth="1"/>
    <col min="6157" max="6157" width="8.140625" style="17" customWidth="1"/>
    <col min="6158" max="6158" width="9.5703125" style="17" customWidth="1"/>
    <col min="6159" max="6159" width="10.85546875" style="17" customWidth="1"/>
    <col min="6160" max="6166" width="10" style="17" customWidth="1"/>
    <col min="6167" max="6167" width="12" style="17" customWidth="1"/>
    <col min="6168" max="6168" width="12.5703125" style="17" customWidth="1"/>
    <col min="6169" max="6169" width="20.140625" style="17" customWidth="1"/>
    <col min="6170" max="6170" width="10.42578125" style="17" bestFit="1" customWidth="1"/>
    <col min="6171" max="6171" width="14.140625" style="17" customWidth="1"/>
    <col min="6172" max="6395" width="9.140625" style="17"/>
    <col min="6396" max="6396" width="5.140625" style="17" customWidth="1"/>
    <col min="6397" max="6397" width="27.140625" style="17" customWidth="1"/>
    <col min="6398" max="6398" width="0" style="17" hidden="1" customWidth="1"/>
    <col min="6399" max="6399" width="5.85546875" style="17" customWidth="1"/>
    <col min="6400" max="6400" width="4.28515625" style="17" customWidth="1"/>
    <col min="6401" max="6401" width="12.5703125" style="17" customWidth="1"/>
    <col min="6402" max="6405" width="0" style="17" hidden="1" customWidth="1"/>
    <col min="6406" max="6406" width="10.140625" style="17" customWidth="1"/>
    <col min="6407" max="6407" width="11.7109375" style="17" customWidth="1"/>
    <col min="6408" max="6408" width="0" style="17" hidden="1" customWidth="1"/>
    <col min="6409" max="6409" width="8.5703125" style="17" customWidth="1"/>
    <col min="6410" max="6410" width="7.85546875" style="17" customWidth="1"/>
    <col min="6411" max="6411" width="9.5703125" style="17" customWidth="1"/>
    <col min="6412" max="6412" width="0" style="17" hidden="1" customWidth="1"/>
    <col min="6413" max="6413" width="8.140625" style="17" customWidth="1"/>
    <col min="6414" max="6414" width="9.5703125" style="17" customWidth="1"/>
    <col min="6415" max="6415" width="10.85546875" style="17" customWidth="1"/>
    <col min="6416" max="6422" width="10" style="17" customWidth="1"/>
    <col min="6423" max="6423" width="12" style="17" customWidth="1"/>
    <col min="6424" max="6424" width="12.5703125" style="17" customWidth="1"/>
    <col min="6425" max="6425" width="20.140625" style="17" customWidth="1"/>
    <col min="6426" max="6426" width="10.42578125" style="17" bestFit="1" customWidth="1"/>
    <col min="6427" max="6427" width="14.140625" style="17" customWidth="1"/>
    <col min="6428" max="6651" width="9.140625" style="17"/>
    <col min="6652" max="6652" width="5.140625" style="17" customWidth="1"/>
    <col min="6653" max="6653" width="27.140625" style="17" customWidth="1"/>
    <col min="6654" max="6654" width="0" style="17" hidden="1" customWidth="1"/>
    <col min="6655" max="6655" width="5.85546875" style="17" customWidth="1"/>
    <col min="6656" max="6656" width="4.28515625" style="17" customWidth="1"/>
    <col min="6657" max="6657" width="12.5703125" style="17" customWidth="1"/>
    <col min="6658" max="6661" width="0" style="17" hidden="1" customWidth="1"/>
    <col min="6662" max="6662" width="10.140625" style="17" customWidth="1"/>
    <col min="6663" max="6663" width="11.7109375" style="17" customWidth="1"/>
    <col min="6664" max="6664" width="0" style="17" hidden="1" customWidth="1"/>
    <col min="6665" max="6665" width="8.5703125" style="17" customWidth="1"/>
    <col min="6666" max="6666" width="7.85546875" style="17" customWidth="1"/>
    <col min="6667" max="6667" width="9.5703125" style="17" customWidth="1"/>
    <col min="6668" max="6668" width="0" style="17" hidden="1" customWidth="1"/>
    <col min="6669" max="6669" width="8.140625" style="17" customWidth="1"/>
    <col min="6670" max="6670" width="9.5703125" style="17" customWidth="1"/>
    <col min="6671" max="6671" width="10.85546875" style="17" customWidth="1"/>
    <col min="6672" max="6678" width="10" style="17" customWidth="1"/>
    <col min="6679" max="6679" width="12" style="17" customWidth="1"/>
    <col min="6680" max="6680" width="12.5703125" style="17" customWidth="1"/>
    <col min="6681" max="6681" width="20.140625" style="17" customWidth="1"/>
    <col min="6682" max="6682" width="10.42578125" style="17" bestFit="1" customWidth="1"/>
    <col min="6683" max="6683" width="14.140625" style="17" customWidth="1"/>
    <col min="6684" max="6907" width="9.140625" style="17"/>
    <col min="6908" max="6908" width="5.140625" style="17" customWidth="1"/>
    <col min="6909" max="6909" width="27.140625" style="17" customWidth="1"/>
    <col min="6910" max="6910" width="0" style="17" hidden="1" customWidth="1"/>
    <col min="6911" max="6911" width="5.85546875" style="17" customWidth="1"/>
    <col min="6912" max="6912" width="4.28515625" style="17" customWidth="1"/>
    <col min="6913" max="6913" width="12.5703125" style="17" customWidth="1"/>
    <col min="6914" max="6917" width="0" style="17" hidden="1" customWidth="1"/>
    <col min="6918" max="6918" width="10.140625" style="17" customWidth="1"/>
    <col min="6919" max="6919" width="11.7109375" style="17" customWidth="1"/>
    <col min="6920" max="6920" width="0" style="17" hidden="1" customWidth="1"/>
    <col min="6921" max="6921" width="8.5703125" style="17" customWidth="1"/>
    <col min="6922" max="6922" width="7.85546875" style="17" customWidth="1"/>
    <col min="6923" max="6923" width="9.5703125" style="17" customWidth="1"/>
    <col min="6924" max="6924" width="0" style="17" hidden="1" customWidth="1"/>
    <col min="6925" max="6925" width="8.140625" style="17" customWidth="1"/>
    <col min="6926" max="6926" width="9.5703125" style="17" customWidth="1"/>
    <col min="6927" max="6927" width="10.85546875" style="17" customWidth="1"/>
    <col min="6928" max="6934" width="10" style="17" customWidth="1"/>
    <col min="6935" max="6935" width="12" style="17" customWidth="1"/>
    <col min="6936" max="6936" width="12.5703125" style="17" customWidth="1"/>
    <col min="6937" max="6937" width="20.140625" style="17" customWidth="1"/>
    <col min="6938" max="6938" width="10.42578125" style="17" bestFit="1" customWidth="1"/>
    <col min="6939" max="6939" width="14.140625" style="17" customWidth="1"/>
    <col min="6940" max="7163" width="9.140625" style="17"/>
    <col min="7164" max="7164" width="5.140625" style="17" customWidth="1"/>
    <col min="7165" max="7165" width="27.140625" style="17" customWidth="1"/>
    <col min="7166" max="7166" width="0" style="17" hidden="1" customWidth="1"/>
    <col min="7167" max="7167" width="5.85546875" style="17" customWidth="1"/>
    <col min="7168" max="7168" width="4.28515625" style="17" customWidth="1"/>
    <col min="7169" max="7169" width="12.5703125" style="17" customWidth="1"/>
    <col min="7170" max="7173" width="0" style="17" hidden="1" customWidth="1"/>
    <col min="7174" max="7174" width="10.140625" style="17" customWidth="1"/>
    <col min="7175" max="7175" width="11.7109375" style="17" customWidth="1"/>
    <col min="7176" max="7176" width="0" style="17" hidden="1" customWidth="1"/>
    <col min="7177" max="7177" width="8.5703125" style="17" customWidth="1"/>
    <col min="7178" max="7178" width="7.85546875" style="17" customWidth="1"/>
    <col min="7179" max="7179" width="9.5703125" style="17" customWidth="1"/>
    <col min="7180" max="7180" width="0" style="17" hidden="1" customWidth="1"/>
    <col min="7181" max="7181" width="8.140625" style="17" customWidth="1"/>
    <col min="7182" max="7182" width="9.5703125" style="17" customWidth="1"/>
    <col min="7183" max="7183" width="10.85546875" style="17" customWidth="1"/>
    <col min="7184" max="7190" width="10" style="17" customWidth="1"/>
    <col min="7191" max="7191" width="12" style="17" customWidth="1"/>
    <col min="7192" max="7192" width="12.5703125" style="17" customWidth="1"/>
    <col min="7193" max="7193" width="20.140625" style="17" customWidth="1"/>
    <col min="7194" max="7194" width="10.42578125" style="17" bestFit="1" customWidth="1"/>
    <col min="7195" max="7195" width="14.140625" style="17" customWidth="1"/>
    <col min="7196" max="7419" width="9.140625" style="17"/>
    <col min="7420" max="7420" width="5.140625" style="17" customWidth="1"/>
    <col min="7421" max="7421" width="27.140625" style="17" customWidth="1"/>
    <col min="7422" max="7422" width="0" style="17" hidden="1" customWidth="1"/>
    <col min="7423" max="7423" width="5.85546875" style="17" customWidth="1"/>
    <col min="7424" max="7424" width="4.28515625" style="17" customWidth="1"/>
    <col min="7425" max="7425" width="12.5703125" style="17" customWidth="1"/>
    <col min="7426" max="7429" width="0" style="17" hidden="1" customWidth="1"/>
    <col min="7430" max="7430" width="10.140625" style="17" customWidth="1"/>
    <col min="7431" max="7431" width="11.7109375" style="17" customWidth="1"/>
    <col min="7432" max="7432" width="0" style="17" hidden="1" customWidth="1"/>
    <col min="7433" max="7433" width="8.5703125" style="17" customWidth="1"/>
    <col min="7434" max="7434" width="7.85546875" style="17" customWidth="1"/>
    <col min="7435" max="7435" width="9.5703125" style="17" customWidth="1"/>
    <col min="7436" max="7436" width="0" style="17" hidden="1" customWidth="1"/>
    <col min="7437" max="7437" width="8.140625" style="17" customWidth="1"/>
    <col min="7438" max="7438" width="9.5703125" style="17" customWidth="1"/>
    <col min="7439" max="7439" width="10.85546875" style="17" customWidth="1"/>
    <col min="7440" max="7446" width="10" style="17" customWidth="1"/>
    <col min="7447" max="7447" width="12" style="17" customWidth="1"/>
    <col min="7448" max="7448" width="12.5703125" style="17" customWidth="1"/>
    <col min="7449" max="7449" width="20.140625" style="17" customWidth="1"/>
    <col min="7450" max="7450" width="10.42578125" style="17" bestFit="1" customWidth="1"/>
    <col min="7451" max="7451" width="14.140625" style="17" customWidth="1"/>
    <col min="7452" max="7675" width="9.140625" style="17"/>
    <col min="7676" max="7676" width="5.140625" style="17" customWidth="1"/>
    <col min="7677" max="7677" width="27.140625" style="17" customWidth="1"/>
    <col min="7678" max="7678" width="0" style="17" hidden="1" customWidth="1"/>
    <col min="7679" max="7679" width="5.85546875" style="17" customWidth="1"/>
    <col min="7680" max="7680" width="4.28515625" style="17" customWidth="1"/>
    <col min="7681" max="7681" width="12.5703125" style="17" customWidth="1"/>
    <col min="7682" max="7685" width="0" style="17" hidden="1" customWidth="1"/>
    <col min="7686" max="7686" width="10.140625" style="17" customWidth="1"/>
    <col min="7687" max="7687" width="11.7109375" style="17" customWidth="1"/>
    <col min="7688" max="7688" width="0" style="17" hidden="1" customWidth="1"/>
    <col min="7689" max="7689" width="8.5703125" style="17" customWidth="1"/>
    <col min="7690" max="7690" width="7.85546875" style="17" customWidth="1"/>
    <col min="7691" max="7691" width="9.5703125" style="17" customWidth="1"/>
    <col min="7692" max="7692" width="0" style="17" hidden="1" customWidth="1"/>
    <col min="7693" max="7693" width="8.140625" style="17" customWidth="1"/>
    <col min="7694" max="7694" width="9.5703125" style="17" customWidth="1"/>
    <col min="7695" max="7695" width="10.85546875" style="17" customWidth="1"/>
    <col min="7696" max="7702" width="10" style="17" customWidth="1"/>
    <col min="7703" max="7703" width="12" style="17" customWidth="1"/>
    <col min="7704" max="7704" width="12.5703125" style="17" customWidth="1"/>
    <col min="7705" max="7705" width="20.140625" style="17" customWidth="1"/>
    <col min="7706" max="7706" width="10.42578125" style="17" bestFit="1" customWidth="1"/>
    <col min="7707" max="7707" width="14.140625" style="17" customWidth="1"/>
    <col min="7708" max="7931" width="9.140625" style="17"/>
    <col min="7932" max="7932" width="5.140625" style="17" customWidth="1"/>
    <col min="7933" max="7933" width="27.140625" style="17" customWidth="1"/>
    <col min="7934" max="7934" width="0" style="17" hidden="1" customWidth="1"/>
    <col min="7935" max="7935" width="5.85546875" style="17" customWidth="1"/>
    <col min="7936" max="7936" width="4.28515625" style="17" customWidth="1"/>
    <col min="7937" max="7937" width="12.5703125" style="17" customWidth="1"/>
    <col min="7938" max="7941" width="0" style="17" hidden="1" customWidth="1"/>
    <col min="7942" max="7942" width="10.140625" style="17" customWidth="1"/>
    <col min="7943" max="7943" width="11.7109375" style="17" customWidth="1"/>
    <col min="7944" max="7944" width="0" style="17" hidden="1" customWidth="1"/>
    <col min="7945" max="7945" width="8.5703125" style="17" customWidth="1"/>
    <col min="7946" max="7946" width="7.85546875" style="17" customWidth="1"/>
    <col min="7947" max="7947" width="9.5703125" style="17" customWidth="1"/>
    <col min="7948" max="7948" width="0" style="17" hidden="1" customWidth="1"/>
    <col min="7949" max="7949" width="8.140625" style="17" customWidth="1"/>
    <col min="7950" max="7950" width="9.5703125" style="17" customWidth="1"/>
    <col min="7951" max="7951" width="10.85546875" style="17" customWidth="1"/>
    <col min="7952" max="7958" width="10" style="17" customWidth="1"/>
    <col min="7959" max="7959" width="12" style="17" customWidth="1"/>
    <col min="7960" max="7960" width="12.5703125" style="17" customWidth="1"/>
    <col min="7961" max="7961" width="20.140625" style="17" customWidth="1"/>
    <col min="7962" max="7962" width="10.42578125" style="17" bestFit="1" customWidth="1"/>
    <col min="7963" max="7963" width="14.140625" style="17" customWidth="1"/>
    <col min="7964" max="8187" width="9.140625" style="17"/>
    <col min="8188" max="8188" width="5.140625" style="17" customWidth="1"/>
    <col min="8189" max="8189" width="27.140625" style="17" customWidth="1"/>
    <col min="8190" max="8190" width="0" style="17" hidden="1" customWidth="1"/>
    <col min="8191" max="8191" width="5.85546875" style="17" customWidth="1"/>
    <col min="8192" max="8192" width="4.28515625" style="17" customWidth="1"/>
    <col min="8193" max="8193" width="12.5703125" style="17" customWidth="1"/>
    <col min="8194" max="8197" width="0" style="17" hidden="1" customWidth="1"/>
    <col min="8198" max="8198" width="10.140625" style="17" customWidth="1"/>
    <col min="8199" max="8199" width="11.7109375" style="17" customWidth="1"/>
    <col min="8200" max="8200" width="0" style="17" hidden="1" customWidth="1"/>
    <col min="8201" max="8201" width="8.5703125" style="17" customWidth="1"/>
    <col min="8202" max="8202" width="7.85546875" style="17" customWidth="1"/>
    <col min="8203" max="8203" width="9.5703125" style="17" customWidth="1"/>
    <col min="8204" max="8204" width="0" style="17" hidden="1" customWidth="1"/>
    <col min="8205" max="8205" width="8.140625" style="17" customWidth="1"/>
    <col min="8206" max="8206" width="9.5703125" style="17" customWidth="1"/>
    <col min="8207" max="8207" width="10.85546875" style="17" customWidth="1"/>
    <col min="8208" max="8214" width="10" style="17" customWidth="1"/>
    <col min="8215" max="8215" width="12" style="17" customWidth="1"/>
    <col min="8216" max="8216" width="12.5703125" style="17" customWidth="1"/>
    <col min="8217" max="8217" width="20.140625" style="17" customWidth="1"/>
    <col min="8218" max="8218" width="10.42578125" style="17" bestFit="1" customWidth="1"/>
    <col min="8219" max="8219" width="14.140625" style="17" customWidth="1"/>
    <col min="8220" max="8443" width="9.140625" style="17"/>
    <col min="8444" max="8444" width="5.140625" style="17" customWidth="1"/>
    <col min="8445" max="8445" width="27.140625" style="17" customWidth="1"/>
    <col min="8446" max="8446" width="0" style="17" hidden="1" customWidth="1"/>
    <col min="8447" max="8447" width="5.85546875" style="17" customWidth="1"/>
    <col min="8448" max="8448" width="4.28515625" style="17" customWidth="1"/>
    <col min="8449" max="8449" width="12.5703125" style="17" customWidth="1"/>
    <col min="8450" max="8453" width="0" style="17" hidden="1" customWidth="1"/>
    <col min="8454" max="8454" width="10.140625" style="17" customWidth="1"/>
    <col min="8455" max="8455" width="11.7109375" style="17" customWidth="1"/>
    <col min="8456" max="8456" width="0" style="17" hidden="1" customWidth="1"/>
    <col min="8457" max="8457" width="8.5703125" style="17" customWidth="1"/>
    <col min="8458" max="8458" width="7.85546875" style="17" customWidth="1"/>
    <col min="8459" max="8459" width="9.5703125" style="17" customWidth="1"/>
    <col min="8460" max="8460" width="0" style="17" hidden="1" customWidth="1"/>
    <col min="8461" max="8461" width="8.140625" style="17" customWidth="1"/>
    <col min="8462" max="8462" width="9.5703125" style="17" customWidth="1"/>
    <col min="8463" max="8463" width="10.85546875" style="17" customWidth="1"/>
    <col min="8464" max="8470" width="10" style="17" customWidth="1"/>
    <col min="8471" max="8471" width="12" style="17" customWidth="1"/>
    <col min="8472" max="8472" width="12.5703125" style="17" customWidth="1"/>
    <col min="8473" max="8473" width="20.140625" style="17" customWidth="1"/>
    <col min="8474" max="8474" width="10.42578125" style="17" bestFit="1" customWidth="1"/>
    <col min="8475" max="8475" width="14.140625" style="17" customWidth="1"/>
    <col min="8476" max="8699" width="9.140625" style="17"/>
    <col min="8700" max="8700" width="5.140625" style="17" customWidth="1"/>
    <col min="8701" max="8701" width="27.140625" style="17" customWidth="1"/>
    <col min="8702" max="8702" width="0" style="17" hidden="1" customWidth="1"/>
    <col min="8703" max="8703" width="5.85546875" style="17" customWidth="1"/>
    <col min="8704" max="8704" width="4.28515625" style="17" customWidth="1"/>
    <col min="8705" max="8705" width="12.5703125" style="17" customWidth="1"/>
    <col min="8706" max="8709" width="0" style="17" hidden="1" customWidth="1"/>
    <col min="8710" max="8710" width="10.140625" style="17" customWidth="1"/>
    <col min="8711" max="8711" width="11.7109375" style="17" customWidth="1"/>
    <col min="8712" max="8712" width="0" style="17" hidden="1" customWidth="1"/>
    <col min="8713" max="8713" width="8.5703125" style="17" customWidth="1"/>
    <col min="8714" max="8714" width="7.85546875" style="17" customWidth="1"/>
    <col min="8715" max="8715" width="9.5703125" style="17" customWidth="1"/>
    <col min="8716" max="8716" width="0" style="17" hidden="1" customWidth="1"/>
    <col min="8717" max="8717" width="8.140625" style="17" customWidth="1"/>
    <col min="8718" max="8718" width="9.5703125" style="17" customWidth="1"/>
    <col min="8719" max="8719" width="10.85546875" style="17" customWidth="1"/>
    <col min="8720" max="8726" width="10" style="17" customWidth="1"/>
    <col min="8727" max="8727" width="12" style="17" customWidth="1"/>
    <col min="8728" max="8728" width="12.5703125" style="17" customWidth="1"/>
    <col min="8729" max="8729" width="20.140625" style="17" customWidth="1"/>
    <col min="8730" max="8730" width="10.42578125" style="17" bestFit="1" customWidth="1"/>
    <col min="8731" max="8731" width="14.140625" style="17" customWidth="1"/>
    <col min="8732" max="8955" width="9.140625" style="17"/>
    <col min="8956" max="8956" width="5.140625" style="17" customWidth="1"/>
    <col min="8957" max="8957" width="27.140625" style="17" customWidth="1"/>
    <col min="8958" max="8958" width="0" style="17" hidden="1" customWidth="1"/>
    <col min="8959" max="8959" width="5.85546875" style="17" customWidth="1"/>
    <col min="8960" max="8960" width="4.28515625" style="17" customWidth="1"/>
    <col min="8961" max="8961" width="12.5703125" style="17" customWidth="1"/>
    <col min="8962" max="8965" width="0" style="17" hidden="1" customWidth="1"/>
    <col min="8966" max="8966" width="10.140625" style="17" customWidth="1"/>
    <col min="8967" max="8967" width="11.7109375" style="17" customWidth="1"/>
    <col min="8968" max="8968" width="0" style="17" hidden="1" customWidth="1"/>
    <col min="8969" max="8969" width="8.5703125" style="17" customWidth="1"/>
    <col min="8970" max="8970" width="7.85546875" style="17" customWidth="1"/>
    <col min="8971" max="8971" width="9.5703125" style="17" customWidth="1"/>
    <col min="8972" max="8972" width="0" style="17" hidden="1" customWidth="1"/>
    <col min="8973" max="8973" width="8.140625" style="17" customWidth="1"/>
    <col min="8974" max="8974" width="9.5703125" style="17" customWidth="1"/>
    <col min="8975" max="8975" width="10.85546875" style="17" customWidth="1"/>
    <col min="8976" max="8982" width="10" style="17" customWidth="1"/>
    <col min="8983" max="8983" width="12" style="17" customWidth="1"/>
    <col min="8984" max="8984" width="12.5703125" style="17" customWidth="1"/>
    <col min="8985" max="8985" width="20.140625" style="17" customWidth="1"/>
    <col min="8986" max="8986" width="10.42578125" style="17" bestFit="1" customWidth="1"/>
    <col min="8987" max="8987" width="14.140625" style="17" customWidth="1"/>
    <col min="8988" max="9211" width="9.140625" style="17"/>
    <col min="9212" max="9212" width="5.140625" style="17" customWidth="1"/>
    <col min="9213" max="9213" width="27.140625" style="17" customWidth="1"/>
    <col min="9214" max="9214" width="0" style="17" hidden="1" customWidth="1"/>
    <col min="9215" max="9215" width="5.85546875" style="17" customWidth="1"/>
    <col min="9216" max="9216" width="4.28515625" style="17" customWidth="1"/>
    <col min="9217" max="9217" width="12.5703125" style="17" customWidth="1"/>
    <col min="9218" max="9221" width="0" style="17" hidden="1" customWidth="1"/>
    <col min="9222" max="9222" width="10.140625" style="17" customWidth="1"/>
    <col min="9223" max="9223" width="11.7109375" style="17" customWidth="1"/>
    <col min="9224" max="9224" width="0" style="17" hidden="1" customWidth="1"/>
    <col min="9225" max="9225" width="8.5703125" style="17" customWidth="1"/>
    <col min="9226" max="9226" width="7.85546875" style="17" customWidth="1"/>
    <col min="9227" max="9227" width="9.5703125" style="17" customWidth="1"/>
    <col min="9228" max="9228" width="0" style="17" hidden="1" customWidth="1"/>
    <col min="9229" max="9229" width="8.140625" style="17" customWidth="1"/>
    <col min="9230" max="9230" width="9.5703125" style="17" customWidth="1"/>
    <col min="9231" max="9231" width="10.85546875" style="17" customWidth="1"/>
    <col min="9232" max="9238" width="10" style="17" customWidth="1"/>
    <col min="9239" max="9239" width="12" style="17" customWidth="1"/>
    <col min="9240" max="9240" width="12.5703125" style="17" customWidth="1"/>
    <col min="9241" max="9241" width="20.140625" style="17" customWidth="1"/>
    <col min="9242" max="9242" width="10.42578125" style="17" bestFit="1" customWidth="1"/>
    <col min="9243" max="9243" width="14.140625" style="17" customWidth="1"/>
    <col min="9244" max="9467" width="9.140625" style="17"/>
    <col min="9468" max="9468" width="5.140625" style="17" customWidth="1"/>
    <col min="9469" max="9469" width="27.140625" style="17" customWidth="1"/>
    <col min="9470" max="9470" width="0" style="17" hidden="1" customWidth="1"/>
    <col min="9471" max="9471" width="5.85546875" style="17" customWidth="1"/>
    <col min="9472" max="9472" width="4.28515625" style="17" customWidth="1"/>
    <col min="9473" max="9473" width="12.5703125" style="17" customWidth="1"/>
    <col min="9474" max="9477" width="0" style="17" hidden="1" customWidth="1"/>
    <col min="9478" max="9478" width="10.140625" style="17" customWidth="1"/>
    <col min="9479" max="9479" width="11.7109375" style="17" customWidth="1"/>
    <col min="9480" max="9480" width="0" style="17" hidden="1" customWidth="1"/>
    <col min="9481" max="9481" width="8.5703125" style="17" customWidth="1"/>
    <col min="9482" max="9482" width="7.85546875" style="17" customWidth="1"/>
    <col min="9483" max="9483" width="9.5703125" style="17" customWidth="1"/>
    <col min="9484" max="9484" width="0" style="17" hidden="1" customWidth="1"/>
    <col min="9485" max="9485" width="8.140625" style="17" customWidth="1"/>
    <col min="9486" max="9486" width="9.5703125" style="17" customWidth="1"/>
    <col min="9487" max="9487" width="10.85546875" style="17" customWidth="1"/>
    <col min="9488" max="9494" width="10" style="17" customWidth="1"/>
    <col min="9495" max="9495" width="12" style="17" customWidth="1"/>
    <col min="9496" max="9496" width="12.5703125" style="17" customWidth="1"/>
    <col min="9497" max="9497" width="20.140625" style="17" customWidth="1"/>
    <col min="9498" max="9498" width="10.42578125" style="17" bestFit="1" customWidth="1"/>
    <col min="9499" max="9499" width="14.140625" style="17" customWidth="1"/>
    <col min="9500" max="9723" width="9.140625" style="17"/>
    <col min="9724" max="9724" width="5.140625" style="17" customWidth="1"/>
    <col min="9725" max="9725" width="27.140625" style="17" customWidth="1"/>
    <col min="9726" max="9726" width="0" style="17" hidden="1" customWidth="1"/>
    <col min="9727" max="9727" width="5.85546875" style="17" customWidth="1"/>
    <col min="9728" max="9728" width="4.28515625" style="17" customWidth="1"/>
    <col min="9729" max="9729" width="12.5703125" style="17" customWidth="1"/>
    <col min="9730" max="9733" width="0" style="17" hidden="1" customWidth="1"/>
    <col min="9734" max="9734" width="10.140625" style="17" customWidth="1"/>
    <col min="9735" max="9735" width="11.7109375" style="17" customWidth="1"/>
    <col min="9736" max="9736" width="0" style="17" hidden="1" customWidth="1"/>
    <col min="9737" max="9737" width="8.5703125" style="17" customWidth="1"/>
    <col min="9738" max="9738" width="7.85546875" style="17" customWidth="1"/>
    <col min="9739" max="9739" width="9.5703125" style="17" customWidth="1"/>
    <col min="9740" max="9740" width="0" style="17" hidden="1" customWidth="1"/>
    <col min="9741" max="9741" width="8.140625" style="17" customWidth="1"/>
    <col min="9742" max="9742" width="9.5703125" style="17" customWidth="1"/>
    <col min="9743" max="9743" width="10.85546875" style="17" customWidth="1"/>
    <col min="9744" max="9750" width="10" style="17" customWidth="1"/>
    <col min="9751" max="9751" width="12" style="17" customWidth="1"/>
    <col min="9752" max="9752" width="12.5703125" style="17" customWidth="1"/>
    <col min="9753" max="9753" width="20.140625" style="17" customWidth="1"/>
    <col min="9754" max="9754" width="10.42578125" style="17" bestFit="1" customWidth="1"/>
    <col min="9755" max="9755" width="14.140625" style="17" customWidth="1"/>
    <col min="9756" max="9979" width="9.140625" style="17"/>
    <col min="9980" max="9980" width="5.140625" style="17" customWidth="1"/>
    <col min="9981" max="9981" width="27.140625" style="17" customWidth="1"/>
    <col min="9982" max="9982" width="0" style="17" hidden="1" customWidth="1"/>
    <col min="9983" max="9983" width="5.85546875" style="17" customWidth="1"/>
    <col min="9984" max="9984" width="4.28515625" style="17" customWidth="1"/>
    <col min="9985" max="9985" width="12.5703125" style="17" customWidth="1"/>
    <col min="9986" max="9989" width="0" style="17" hidden="1" customWidth="1"/>
    <col min="9990" max="9990" width="10.140625" style="17" customWidth="1"/>
    <col min="9991" max="9991" width="11.7109375" style="17" customWidth="1"/>
    <col min="9992" max="9992" width="0" style="17" hidden="1" customWidth="1"/>
    <col min="9993" max="9993" width="8.5703125" style="17" customWidth="1"/>
    <col min="9994" max="9994" width="7.85546875" style="17" customWidth="1"/>
    <col min="9995" max="9995" width="9.5703125" style="17" customWidth="1"/>
    <col min="9996" max="9996" width="0" style="17" hidden="1" customWidth="1"/>
    <col min="9997" max="9997" width="8.140625" style="17" customWidth="1"/>
    <col min="9998" max="9998" width="9.5703125" style="17" customWidth="1"/>
    <col min="9999" max="9999" width="10.85546875" style="17" customWidth="1"/>
    <col min="10000" max="10006" width="10" style="17" customWidth="1"/>
    <col min="10007" max="10007" width="12" style="17" customWidth="1"/>
    <col min="10008" max="10008" width="12.5703125" style="17" customWidth="1"/>
    <col min="10009" max="10009" width="20.140625" style="17" customWidth="1"/>
    <col min="10010" max="10010" width="10.42578125" style="17" bestFit="1" customWidth="1"/>
    <col min="10011" max="10011" width="14.140625" style="17" customWidth="1"/>
    <col min="10012" max="10235" width="9.140625" style="17"/>
    <col min="10236" max="10236" width="5.140625" style="17" customWidth="1"/>
    <col min="10237" max="10237" width="27.140625" style="17" customWidth="1"/>
    <col min="10238" max="10238" width="0" style="17" hidden="1" customWidth="1"/>
    <col min="10239" max="10239" width="5.85546875" style="17" customWidth="1"/>
    <col min="10240" max="10240" width="4.28515625" style="17" customWidth="1"/>
    <col min="10241" max="10241" width="12.5703125" style="17" customWidth="1"/>
    <col min="10242" max="10245" width="0" style="17" hidden="1" customWidth="1"/>
    <col min="10246" max="10246" width="10.140625" style="17" customWidth="1"/>
    <col min="10247" max="10247" width="11.7109375" style="17" customWidth="1"/>
    <col min="10248" max="10248" width="0" style="17" hidden="1" customWidth="1"/>
    <col min="10249" max="10249" width="8.5703125" style="17" customWidth="1"/>
    <col min="10250" max="10250" width="7.85546875" style="17" customWidth="1"/>
    <col min="10251" max="10251" width="9.5703125" style="17" customWidth="1"/>
    <col min="10252" max="10252" width="0" style="17" hidden="1" customWidth="1"/>
    <col min="10253" max="10253" width="8.140625" style="17" customWidth="1"/>
    <col min="10254" max="10254" width="9.5703125" style="17" customWidth="1"/>
    <col min="10255" max="10255" width="10.85546875" style="17" customWidth="1"/>
    <col min="10256" max="10262" width="10" style="17" customWidth="1"/>
    <col min="10263" max="10263" width="12" style="17" customWidth="1"/>
    <col min="10264" max="10264" width="12.5703125" style="17" customWidth="1"/>
    <col min="10265" max="10265" width="20.140625" style="17" customWidth="1"/>
    <col min="10266" max="10266" width="10.42578125" style="17" bestFit="1" customWidth="1"/>
    <col min="10267" max="10267" width="14.140625" style="17" customWidth="1"/>
    <col min="10268" max="10491" width="9.140625" style="17"/>
    <col min="10492" max="10492" width="5.140625" style="17" customWidth="1"/>
    <col min="10493" max="10493" width="27.140625" style="17" customWidth="1"/>
    <col min="10494" max="10494" width="0" style="17" hidden="1" customWidth="1"/>
    <col min="10495" max="10495" width="5.85546875" style="17" customWidth="1"/>
    <col min="10496" max="10496" width="4.28515625" style="17" customWidth="1"/>
    <col min="10497" max="10497" width="12.5703125" style="17" customWidth="1"/>
    <col min="10498" max="10501" width="0" style="17" hidden="1" customWidth="1"/>
    <col min="10502" max="10502" width="10.140625" style="17" customWidth="1"/>
    <col min="10503" max="10503" width="11.7109375" style="17" customWidth="1"/>
    <col min="10504" max="10504" width="0" style="17" hidden="1" customWidth="1"/>
    <col min="10505" max="10505" width="8.5703125" style="17" customWidth="1"/>
    <col min="10506" max="10506" width="7.85546875" style="17" customWidth="1"/>
    <col min="10507" max="10507" width="9.5703125" style="17" customWidth="1"/>
    <col min="10508" max="10508" width="0" style="17" hidden="1" customWidth="1"/>
    <col min="10509" max="10509" width="8.140625" style="17" customWidth="1"/>
    <col min="10510" max="10510" width="9.5703125" style="17" customWidth="1"/>
    <col min="10511" max="10511" width="10.85546875" style="17" customWidth="1"/>
    <col min="10512" max="10518" width="10" style="17" customWidth="1"/>
    <col min="10519" max="10519" width="12" style="17" customWidth="1"/>
    <col min="10520" max="10520" width="12.5703125" style="17" customWidth="1"/>
    <col min="10521" max="10521" width="20.140625" style="17" customWidth="1"/>
    <col min="10522" max="10522" width="10.42578125" style="17" bestFit="1" customWidth="1"/>
    <col min="10523" max="10523" width="14.140625" style="17" customWidth="1"/>
    <col min="10524" max="10747" width="9.140625" style="17"/>
    <col min="10748" max="10748" width="5.140625" style="17" customWidth="1"/>
    <col min="10749" max="10749" width="27.140625" style="17" customWidth="1"/>
    <col min="10750" max="10750" width="0" style="17" hidden="1" customWidth="1"/>
    <col min="10751" max="10751" width="5.85546875" style="17" customWidth="1"/>
    <col min="10752" max="10752" width="4.28515625" style="17" customWidth="1"/>
    <col min="10753" max="10753" width="12.5703125" style="17" customWidth="1"/>
    <col min="10754" max="10757" width="0" style="17" hidden="1" customWidth="1"/>
    <col min="10758" max="10758" width="10.140625" style="17" customWidth="1"/>
    <col min="10759" max="10759" width="11.7109375" style="17" customWidth="1"/>
    <col min="10760" max="10760" width="0" style="17" hidden="1" customWidth="1"/>
    <col min="10761" max="10761" width="8.5703125" style="17" customWidth="1"/>
    <col min="10762" max="10762" width="7.85546875" style="17" customWidth="1"/>
    <col min="10763" max="10763" width="9.5703125" style="17" customWidth="1"/>
    <col min="10764" max="10764" width="0" style="17" hidden="1" customWidth="1"/>
    <col min="10765" max="10765" width="8.140625" style="17" customWidth="1"/>
    <col min="10766" max="10766" width="9.5703125" style="17" customWidth="1"/>
    <col min="10767" max="10767" width="10.85546875" style="17" customWidth="1"/>
    <col min="10768" max="10774" width="10" style="17" customWidth="1"/>
    <col min="10775" max="10775" width="12" style="17" customWidth="1"/>
    <col min="10776" max="10776" width="12.5703125" style="17" customWidth="1"/>
    <col min="10777" max="10777" width="20.140625" style="17" customWidth="1"/>
    <col min="10778" max="10778" width="10.42578125" style="17" bestFit="1" customWidth="1"/>
    <col min="10779" max="10779" width="14.140625" style="17" customWidth="1"/>
    <col min="10780" max="11003" width="9.140625" style="17"/>
    <col min="11004" max="11004" width="5.140625" style="17" customWidth="1"/>
    <col min="11005" max="11005" width="27.140625" style="17" customWidth="1"/>
    <col min="11006" max="11006" width="0" style="17" hidden="1" customWidth="1"/>
    <col min="11007" max="11007" width="5.85546875" style="17" customWidth="1"/>
    <col min="11008" max="11008" width="4.28515625" style="17" customWidth="1"/>
    <col min="11009" max="11009" width="12.5703125" style="17" customWidth="1"/>
    <col min="11010" max="11013" width="0" style="17" hidden="1" customWidth="1"/>
    <col min="11014" max="11014" width="10.140625" style="17" customWidth="1"/>
    <col min="11015" max="11015" width="11.7109375" style="17" customWidth="1"/>
    <col min="11016" max="11016" width="0" style="17" hidden="1" customWidth="1"/>
    <col min="11017" max="11017" width="8.5703125" style="17" customWidth="1"/>
    <col min="11018" max="11018" width="7.85546875" style="17" customWidth="1"/>
    <col min="11019" max="11019" width="9.5703125" style="17" customWidth="1"/>
    <col min="11020" max="11020" width="0" style="17" hidden="1" customWidth="1"/>
    <col min="11021" max="11021" width="8.140625" style="17" customWidth="1"/>
    <col min="11022" max="11022" width="9.5703125" style="17" customWidth="1"/>
    <col min="11023" max="11023" width="10.85546875" style="17" customWidth="1"/>
    <col min="11024" max="11030" width="10" style="17" customWidth="1"/>
    <col min="11031" max="11031" width="12" style="17" customWidth="1"/>
    <col min="11032" max="11032" width="12.5703125" style="17" customWidth="1"/>
    <col min="11033" max="11033" width="20.140625" style="17" customWidth="1"/>
    <col min="11034" max="11034" width="10.42578125" style="17" bestFit="1" customWidth="1"/>
    <col min="11035" max="11035" width="14.140625" style="17" customWidth="1"/>
    <col min="11036" max="11259" width="9.140625" style="17"/>
    <col min="11260" max="11260" width="5.140625" style="17" customWidth="1"/>
    <col min="11261" max="11261" width="27.140625" style="17" customWidth="1"/>
    <col min="11262" max="11262" width="0" style="17" hidden="1" customWidth="1"/>
    <col min="11263" max="11263" width="5.85546875" style="17" customWidth="1"/>
    <col min="11264" max="11264" width="4.28515625" style="17" customWidth="1"/>
    <col min="11265" max="11265" width="12.5703125" style="17" customWidth="1"/>
    <col min="11266" max="11269" width="0" style="17" hidden="1" customWidth="1"/>
    <col min="11270" max="11270" width="10.140625" style="17" customWidth="1"/>
    <col min="11271" max="11271" width="11.7109375" style="17" customWidth="1"/>
    <col min="11272" max="11272" width="0" style="17" hidden="1" customWidth="1"/>
    <col min="11273" max="11273" width="8.5703125" style="17" customWidth="1"/>
    <col min="11274" max="11274" width="7.85546875" style="17" customWidth="1"/>
    <col min="11275" max="11275" width="9.5703125" style="17" customWidth="1"/>
    <col min="11276" max="11276" width="0" style="17" hidden="1" customWidth="1"/>
    <col min="11277" max="11277" width="8.140625" style="17" customWidth="1"/>
    <col min="11278" max="11278" width="9.5703125" style="17" customWidth="1"/>
    <col min="11279" max="11279" width="10.85546875" style="17" customWidth="1"/>
    <col min="11280" max="11286" width="10" style="17" customWidth="1"/>
    <col min="11287" max="11287" width="12" style="17" customWidth="1"/>
    <col min="11288" max="11288" width="12.5703125" style="17" customWidth="1"/>
    <col min="11289" max="11289" width="20.140625" style="17" customWidth="1"/>
    <col min="11290" max="11290" width="10.42578125" style="17" bestFit="1" customWidth="1"/>
    <col min="11291" max="11291" width="14.140625" style="17" customWidth="1"/>
    <col min="11292" max="11515" width="9.140625" style="17"/>
    <col min="11516" max="11516" width="5.140625" style="17" customWidth="1"/>
    <col min="11517" max="11517" width="27.140625" style="17" customWidth="1"/>
    <col min="11518" max="11518" width="0" style="17" hidden="1" customWidth="1"/>
    <col min="11519" max="11519" width="5.85546875" style="17" customWidth="1"/>
    <col min="11520" max="11520" width="4.28515625" style="17" customWidth="1"/>
    <col min="11521" max="11521" width="12.5703125" style="17" customWidth="1"/>
    <col min="11522" max="11525" width="0" style="17" hidden="1" customWidth="1"/>
    <col min="11526" max="11526" width="10.140625" style="17" customWidth="1"/>
    <col min="11527" max="11527" width="11.7109375" style="17" customWidth="1"/>
    <col min="11528" max="11528" width="0" style="17" hidden="1" customWidth="1"/>
    <col min="11529" max="11529" width="8.5703125" style="17" customWidth="1"/>
    <col min="11530" max="11530" width="7.85546875" style="17" customWidth="1"/>
    <col min="11531" max="11531" width="9.5703125" style="17" customWidth="1"/>
    <col min="11532" max="11532" width="0" style="17" hidden="1" customWidth="1"/>
    <col min="11533" max="11533" width="8.140625" style="17" customWidth="1"/>
    <col min="11534" max="11534" width="9.5703125" style="17" customWidth="1"/>
    <col min="11535" max="11535" width="10.85546875" style="17" customWidth="1"/>
    <col min="11536" max="11542" width="10" style="17" customWidth="1"/>
    <col min="11543" max="11543" width="12" style="17" customWidth="1"/>
    <col min="11544" max="11544" width="12.5703125" style="17" customWidth="1"/>
    <col min="11545" max="11545" width="20.140625" style="17" customWidth="1"/>
    <col min="11546" max="11546" width="10.42578125" style="17" bestFit="1" customWidth="1"/>
    <col min="11547" max="11547" width="14.140625" style="17" customWidth="1"/>
    <col min="11548" max="11771" width="9.140625" style="17"/>
    <col min="11772" max="11772" width="5.140625" style="17" customWidth="1"/>
    <col min="11773" max="11773" width="27.140625" style="17" customWidth="1"/>
    <col min="11774" max="11774" width="0" style="17" hidden="1" customWidth="1"/>
    <col min="11775" max="11775" width="5.85546875" style="17" customWidth="1"/>
    <col min="11776" max="11776" width="4.28515625" style="17" customWidth="1"/>
    <col min="11777" max="11777" width="12.5703125" style="17" customWidth="1"/>
    <col min="11778" max="11781" width="0" style="17" hidden="1" customWidth="1"/>
    <col min="11782" max="11782" width="10.140625" style="17" customWidth="1"/>
    <col min="11783" max="11783" width="11.7109375" style="17" customWidth="1"/>
    <col min="11784" max="11784" width="0" style="17" hidden="1" customWidth="1"/>
    <col min="11785" max="11785" width="8.5703125" style="17" customWidth="1"/>
    <col min="11786" max="11786" width="7.85546875" style="17" customWidth="1"/>
    <col min="11787" max="11787" width="9.5703125" style="17" customWidth="1"/>
    <col min="11788" max="11788" width="0" style="17" hidden="1" customWidth="1"/>
    <col min="11789" max="11789" width="8.140625" style="17" customWidth="1"/>
    <col min="11790" max="11790" width="9.5703125" style="17" customWidth="1"/>
    <col min="11791" max="11791" width="10.85546875" style="17" customWidth="1"/>
    <col min="11792" max="11798" width="10" style="17" customWidth="1"/>
    <col min="11799" max="11799" width="12" style="17" customWidth="1"/>
    <col min="11800" max="11800" width="12.5703125" style="17" customWidth="1"/>
    <col min="11801" max="11801" width="20.140625" style="17" customWidth="1"/>
    <col min="11802" max="11802" width="10.42578125" style="17" bestFit="1" customWidth="1"/>
    <col min="11803" max="11803" width="14.140625" style="17" customWidth="1"/>
    <col min="11804" max="12027" width="9.140625" style="17"/>
    <col min="12028" max="12028" width="5.140625" style="17" customWidth="1"/>
    <col min="12029" max="12029" width="27.140625" style="17" customWidth="1"/>
    <col min="12030" max="12030" width="0" style="17" hidden="1" customWidth="1"/>
    <col min="12031" max="12031" width="5.85546875" style="17" customWidth="1"/>
    <col min="12032" max="12032" width="4.28515625" style="17" customWidth="1"/>
    <col min="12033" max="12033" width="12.5703125" style="17" customWidth="1"/>
    <col min="12034" max="12037" width="0" style="17" hidden="1" customWidth="1"/>
    <col min="12038" max="12038" width="10.140625" style="17" customWidth="1"/>
    <col min="12039" max="12039" width="11.7109375" style="17" customWidth="1"/>
    <col min="12040" max="12040" width="0" style="17" hidden="1" customWidth="1"/>
    <col min="12041" max="12041" width="8.5703125" style="17" customWidth="1"/>
    <col min="12042" max="12042" width="7.85546875" style="17" customWidth="1"/>
    <col min="12043" max="12043" width="9.5703125" style="17" customWidth="1"/>
    <col min="12044" max="12044" width="0" style="17" hidden="1" customWidth="1"/>
    <col min="12045" max="12045" width="8.140625" style="17" customWidth="1"/>
    <col min="12046" max="12046" width="9.5703125" style="17" customWidth="1"/>
    <col min="12047" max="12047" width="10.85546875" style="17" customWidth="1"/>
    <col min="12048" max="12054" width="10" style="17" customWidth="1"/>
    <col min="12055" max="12055" width="12" style="17" customWidth="1"/>
    <col min="12056" max="12056" width="12.5703125" style="17" customWidth="1"/>
    <col min="12057" max="12057" width="20.140625" style="17" customWidth="1"/>
    <col min="12058" max="12058" width="10.42578125" style="17" bestFit="1" customWidth="1"/>
    <col min="12059" max="12059" width="14.140625" style="17" customWidth="1"/>
    <col min="12060" max="12283" width="9.140625" style="17"/>
    <col min="12284" max="12284" width="5.140625" style="17" customWidth="1"/>
    <col min="12285" max="12285" width="27.140625" style="17" customWidth="1"/>
    <col min="12286" max="12286" width="0" style="17" hidden="1" customWidth="1"/>
    <col min="12287" max="12287" width="5.85546875" style="17" customWidth="1"/>
    <col min="12288" max="12288" width="4.28515625" style="17" customWidth="1"/>
    <col min="12289" max="12289" width="12.5703125" style="17" customWidth="1"/>
    <col min="12290" max="12293" width="0" style="17" hidden="1" customWidth="1"/>
    <col min="12294" max="12294" width="10.140625" style="17" customWidth="1"/>
    <col min="12295" max="12295" width="11.7109375" style="17" customWidth="1"/>
    <col min="12296" max="12296" width="0" style="17" hidden="1" customWidth="1"/>
    <col min="12297" max="12297" width="8.5703125" style="17" customWidth="1"/>
    <col min="12298" max="12298" width="7.85546875" style="17" customWidth="1"/>
    <col min="12299" max="12299" width="9.5703125" style="17" customWidth="1"/>
    <col min="12300" max="12300" width="0" style="17" hidden="1" customWidth="1"/>
    <col min="12301" max="12301" width="8.140625" style="17" customWidth="1"/>
    <col min="12302" max="12302" width="9.5703125" style="17" customWidth="1"/>
    <col min="12303" max="12303" width="10.85546875" style="17" customWidth="1"/>
    <col min="12304" max="12310" width="10" style="17" customWidth="1"/>
    <col min="12311" max="12311" width="12" style="17" customWidth="1"/>
    <col min="12312" max="12312" width="12.5703125" style="17" customWidth="1"/>
    <col min="12313" max="12313" width="20.140625" style="17" customWidth="1"/>
    <col min="12314" max="12314" width="10.42578125" style="17" bestFit="1" customWidth="1"/>
    <col min="12315" max="12315" width="14.140625" style="17" customWidth="1"/>
    <col min="12316" max="12539" width="9.140625" style="17"/>
    <col min="12540" max="12540" width="5.140625" style="17" customWidth="1"/>
    <col min="12541" max="12541" width="27.140625" style="17" customWidth="1"/>
    <col min="12542" max="12542" width="0" style="17" hidden="1" customWidth="1"/>
    <col min="12543" max="12543" width="5.85546875" style="17" customWidth="1"/>
    <col min="12544" max="12544" width="4.28515625" style="17" customWidth="1"/>
    <col min="12545" max="12545" width="12.5703125" style="17" customWidth="1"/>
    <col min="12546" max="12549" width="0" style="17" hidden="1" customWidth="1"/>
    <col min="12550" max="12550" width="10.140625" style="17" customWidth="1"/>
    <col min="12551" max="12551" width="11.7109375" style="17" customWidth="1"/>
    <col min="12552" max="12552" width="0" style="17" hidden="1" customWidth="1"/>
    <col min="12553" max="12553" width="8.5703125" style="17" customWidth="1"/>
    <col min="12554" max="12554" width="7.85546875" style="17" customWidth="1"/>
    <col min="12555" max="12555" width="9.5703125" style="17" customWidth="1"/>
    <col min="12556" max="12556" width="0" style="17" hidden="1" customWidth="1"/>
    <col min="12557" max="12557" width="8.140625" style="17" customWidth="1"/>
    <col min="12558" max="12558" width="9.5703125" style="17" customWidth="1"/>
    <col min="12559" max="12559" width="10.85546875" style="17" customWidth="1"/>
    <col min="12560" max="12566" width="10" style="17" customWidth="1"/>
    <col min="12567" max="12567" width="12" style="17" customWidth="1"/>
    <col min="12568" max="12568" width="12.5703125" style="17" customWidth="1"/>
    <col min="12569" max="12569" width="20.140625" style="17" customWidth="1"/>
    <col min="12570" max="12570" width="10.42578125" style="17" bestFit="1" customWidth="1"/>
    <col min="12571" max="12571" width="14.140625" style="17" customWidth="1"/>
    <col min="12572" max="12795" width="9.140625" style="17"/>
    <col min="12796" max="12796" width="5.140625" style="17" customWidth="1"/>
    <col min="12797" max="12797" width="27.140625" style="17" customWidth="1"/>
    <col min="12798" max="12798" width="0" style="17" hidden="1" customWidth="1"/>
    <col min="12799" max="12799" width="5.85546875" style="17" customWidth="1"/>
    <col min="12800" max="12800" width="4.28515625" style="17" customWidth="1"/>
    <col min="12801" max="12801" width="12.5703125" style="17" customWidth="1"/>
    <col min="12802" max="12805" width="0" style="17" hidden="1" customWidth="1"/>
    <col min="12806" max="12806" width="10.140625" style="17" customWidth="1"/>
    <col min="12807" max="12807" width="11.7109375" style="17" customWidth="1"/>
    <col min="12808" max="12808" width="0" style="17" hidden="1" customWidth="1"/>
    <col min="12809" max="12809" width="8.5703125" style="17" customWidth="1"/>
    <col min="12810" max="12810" width="7.85546875" style="17" customWidth="1"/>
    <col min="12811" max="12811" width="9.5703125" style="17" customWidth="1"/>
    <col min="12812" max="12812" width="0" style="17" hidden="1" customWidth="1"/>
    <col min="12813" max="12813" width="8.140625" style="17" customWidth="1"/>
    <col min="12814" max="12814" width="9.5703125" style="17" customWidth="1"/>
    <col min="12815" max="12815" width="10.85546875" style="17" customWidth="1"/>
    <col min="12816" max="12822" width="10" style="17" customWidth="1"/>
    <col min="12823" max="12823" width="12" style="17" customWidth="1"/>
    <col min="12824" max="12824" width="12.5703125" style="17" customWidth="1"/>
    <col min="12825" max="12825" width="20.140625" style="17" customWidth="1"/>
    <col min="12826" max="12826" width="10.42578125" style="17" bestFit="1" customWidth="1"/>
    <col min="12827" max="12827" width="14.140625" style="17" customWidth="1"/>
    <col min="12828" max="13051" width="9.140625" style="17"/>
    <col min="13052" max="13052" width="5.140625" style="17" customWidth="1"/>
    <col min="13053" max="13053" width="27.140625" style="17" customWidth="1"/>
    <col min="13054" max="13054" width="0" style="17" hidden="1" customWidth="1"/>
    <col min="13055" max="13055" width="5.85546875" style="17" customWidth="1"/>
    <col min="13056" max="13056" width="4.28515625" style="17" customWidth="1"/>
    <col min="13057" max="13057" width="12.5703125" style="17" customWidth="1"/>
    <col min="13058" max="13061" width="0" style="17" hidden="1" customWidth="1"/>
    <col min="13062" max="13062" width="10.140625" style="17" customWidth="1"/>
    <col min="13063" max="13063" width="11.7109375" style="17" customWidth="1"/>
    <col min="13064" max="13064" width="0" style="17" hidden="1" customWidth="1"/>
    <col min="13065" max="13065" width="8.5703125" style="17" customWidth="1"/>
    <col min="13066" max="13066" width="7.85546875" style="17" customWidth="1"/>
    <col min="13067" max="13067" width="9.5703125" style="17" customWidth="1"/>
    <col min="13068" max="13068" width="0" style="17" hidden="1" customWidth="1"/>
    <col min="13069" max="13069" width="8.140625" style="17" customWidth="1"/>
    <col min="13070" max="13070" width="9.5703125" style="17" customWidth="1"/>
    <col min="13071" max="13071" width="10.85546875" style="17" customWidth="1"/>
    <col min="13072" max="13078" width="10" style="17" customWidth="1"/>
    <col min="13079" max="13079" width="12" style="17" customWidth="1"/>
    <col min="13080" max="13080" width="12.5703125" style="17" customWidth="1"/>
    <col min="13081" max="13081" width="20.140625" style="17" customWidth="1"/>
    <col min="13082" max="13082" width="10.42578125" style="17" bestFit="1" customWidth="1"/>
    <col min="13083" max="13083" width="14.140625" style="17" customWidth="1"/>
    <col min="13084" max="13307" width="9.140625" style="17"/>
    <col min="13308" max="13308" width="5.140625" style="17" customWidth="1"/>
    <col min="13309" max="13309" width="27.140625" style="17" customWidth="1"/>
    <col min="13310" max="13310" width="0" style="17" hidden="1" customWidth="1"/>
    <col min="13311" max="13311" width="5.85546875" style="17" customWidth="1"/>
    <col min="13312" max="13312" width="4.28515625" style="17" customWidth="1"/>
    <col min="13313" max="13313" width="12.5703125" style="17" customWidth="1"/>
    <col min="13314" max="13317" width="0" style="17" hidden="1" customWidth="1"/>
    <col min="13318" max="13318" width="10.140625" style="17" customWidth="1"/>
    <col min="13319" max="13319" width="11.7109375" style="17" customWidth="1"/>
    <col min="13320" max="13320" width="0" style="17" hidden="1" customWidth="1"/>
    <col min="13321" max="13321" width="8.5703125" style="17" customWidth="1"/>
    <col min="13322" max="13322" width="7.85546875" style="17" customWidth="1"/>
    <col min="13323" max="13323" width="9.5703125" style="17" customWidth="1"/>
    <col min="13324" max="13324" width="0" style="17" hidden="1" customWidth="1"/>
    <col min="13325" max="13325" width="8.140625" style="17" customWidth="1"/>
    <col min="13326" max="13326" width="9.5703125" style="17" customWidth="1"/>
    <col min="13327" max="13327" width="10.85546875" style="17" customWidth="1"/>
    <col min="13328" max="13334" width="10" style="17" customWidth="1"/>
    <col min="13335" max="13335" width="12" style="17" customWidth="1"/>
    <col min="13336" max="13336" width="12.5703125" style="17" customWidth="1"/>
    <col min="13337" max="13337" width="20.140625" style="17" customWidth="1"/>
    <col min="13338" max="13338" width="10.42578125" style="17" bestFit="1" customWidth="1"/>
    <col min="13339" max="13339" width="14.140625" style="17" customWidth="1"/>
    <col min="13340" max="13563" width="9.140625" style="17"/>
    <col min="13564" max="13564" width="5.140625" style="17" customWidth="1"/>
    <col min="13565" max="13565" width="27.140625" style="17" customWidth="1"/>
    <col min="13566" max="13566" width="0" style="17" hidden="1" customWidth="1"/>
    <col min="13567" max="13567" width="5.85546875" style="17" customWidth="1"/>
    <col min="13568" max="13568" width="4.28515625" style="17" customWidth="1"/>
    <col min="13569" max="13569" width="12.5703125" style="17" customWidth="1"/>
    <col min="13570" max="13573" width="0" style="17" hidden="1" customWidth="1"/>
    <col min="13574" max="13574" width="10.140625" style="17" customWidth="1"/>
    <col min="13575" max="13575" width="11.7109375" style="17" customWidth="1"/>
    <col min="13576" max="13576" width="0" style="17" hidden="1" customWidth="1"/>
    <col min="13577" max="13577" width="8.5703125" style="17" customWidth="1"/>
    <col min="13578" max="13578" width="7.85546875" style="17" customWidth="1"/>
    <col min="13579" max="13579" width="9.5703125" style="17" customWidth="1"/>
    <col min="13580" max="13580" width="0" style="17" hidden="1" customWidth="1"/>
    <col min="13581" max="13581" width="8.140625" style="17" customWidth="1"/>
    <col min="13582" max="13582" width="9.5703125" style="17" customWidth="1"/>
    <col min="13583" max="13583" width="10.85546875" style="17" customWidth="1"/>
    <col min="13584" max="13590" width="10" style="17" customWidth="1"/>
    <col min="13591" max="13591" width="12" style="17" customWidth="1"/>
    <col min="13592" max="13592" width="12.5703125" style="17" customWidth="1"/>
    <col min="13593" max="13593" width="20.140625" style="17" customWidth="1"/>
    <col min="13594" max="13594" width="10.42578125" style="17" bestFit="1" customWidth="1"/>
    <col min="13595" max="13595" width="14.140625" style="17" customWidth="1"/>
    <col min="13596" max="13819" width="9.140625" style="17"/>
    <col min="13820" max="13820" width="5.140625" style="17" customWidth="1"/>
    <col min="13821" max="13821" width="27.140625" style="17" customWidth="1"/>
    <col min="13822" max="13822" width="0" style="17" hidden="1" customWidth="1"/>
    <col min="13823" max="13823" width="5.85546875" style="17" customWidth="1"/>
    <col min="13824" max="13824" width="4.28515625" style="17" customWidth="1"/>
    <col min="13825" max="13825" width="12.5703125" style="17" customWidth="1"/>
    <col min="13826" max="13829" width="0" style="17" hidden="1" customWidth="1"/>
    <col min="13830" max="13830" width="10.140625" style="17" customWidth="1"/>
    <col min="13831" max="13831" width="11.7109375" style="17" customWidth="1"/>
    <col min="13832" max="13832" width="0" style="17" hidden="1" customWidth="1"/>
    <col min="13833" max="13833" width="8.5703125" style="17" customWidth="1"/>
    <col min="13834" max="13834" width="7.85546875" style="17" customWidth="1"/>
    <col min="13835" max="13835" width="9.5703125" style="17" customWidth="1"/>
    <col min="13836" max="13836" width="0" style="17" hidden="1" customWidth="1"/>
    <col min="13837" max="13837" width="8.140625" style="17" customWidth="1"/>
    <col min="13838" max="13838" width="9.5703125" style="17" customWidth="1"/>
    <col min="13839" max="13839" width="10.85546875" style="17" customWidth="1"/>
    <col min="13840" max="13846" width="10" style="17" customWidth="1"/>
    <col min="13847" max="13847" width="12" style="17" customWidth="1"/>
    <col min="13848" max="13848" width="12.5703125" style="17" customWidth="1"/>
    <col min="13849" max="13849" width="20.140625" style="17" customWidth="1"/>
    <col min="13850" max="13850" width="10.42578125" style="17" bestFit="1" customWidth="1"/>
    <col min="13851" max="13851" width="14.140625" style="17" customWidth="1"/>
    <col min="13852" max="14075" width="9.140625" style="17"/>
    <col min="14076" max="14076" width="5.140625" style="17" customWidth="1"/>
    <col min="14077" max="14077" width="27.140625" style="17" customWidth="1"/>
    <col min="14078" max="14078" width="0" style="17" hidden="1" customWidth="1"/>
    <col min="14079" max="14079" width="5.85546875" style="17" customWidth="1"/>
    <col min="14080" max="14080" width="4.28515625" style="17" customWidth="1"/>
    <col min="14081" max="14081" width="12.5703125" style="17" customWidth="1"/>
    <col min="14082" max="14085" width="0" style="17" hidden="1" customWidth="1"/>
    <col min="14086" max="14086" width="10.140625" style="17" customWidth="1"/>
    <col min="14087" max="14087" width="11.7109375" style="17" customWidth="1"/>
    <col min="14088" max="14088" width="0" style="17" hidden="1" customWidth="1"/>
    <col min="14089" max="14089" width="8.5703125" style="17" customWidth="1"/>
    <col min="14090" max="14090" width="7.85546875" style="17" customWidth="1"/>
    <col min="14091" max="14091" width="9.5703125" style="17" customWidth="1"/>
    <col min="14092" max="14092" width="0" style="17" hidden="1" customWidth="1"/>
    <col min="14093" max="14093" width="8.140625" style="17" customWidth="1"/>
    <col min="14094" max="14094" width="9.5703125" style="17" customWidth="1"/>
    <col min="14095" max="14095" width="10.85546875" style="17" customWidth="1"/>
    <col min="14096" max="14102" width="10" style="17" customWidth="1"/>
    <col min="14103" max="14103" width="12" style="17" customWidth="1"/>
    <col min="14104" max="14104" width="12.5703125" style="17" customWidth="1"/>
    <col min="14105" max="14105" width="20.140625" style="17" customWidth="1"/>
    <col min="14106" max="14106" width="10.42578125" style="17" bestFit="1" customWidth="1"/>
    <col min="14107" max="14107" width="14.140625" style="17" customWidth="1"/>
    <col min="14108" max="14331" width="9.140625" style="17"/>
    <col min="14332" max="14332" width="5.140625" style="17" customWidth="1"/>
    <col min="14333" max="14333" width="27.140625" style="17" customWidth="1"/>
    <col min="14334" max="14334" width="0" style="17" hidden="1" customWidth="1"/>
    <col min="14335" max="14335" width="5.85546875" style="17" customWidth="1"/>
    <col min="14336" max="14336" width="4.28515625" style="17" customWidth="1"/>
    <col min="14337" max="14337" width="12.5703125" style="17" customWidth="1"/>
    <col min="14338" max="14341" width="0" style="17" hidden="1" customWidth="1"/>
    <col min="14342" max="14342" width="10.140625" style="17" customWidth="1"/>
    <col min="14343" max="14343" width="11.7109375" style="17" customWidth="1"/>
    <col min="14344" max="14344" width="0" style="17" hidden="1" customWidth="1"/>
    <col min="14345" max="14345" width="8.5703125" style="17" customWidth="1"/>
    <col min="14346" max="14346" width="7.85546875" style="17" customWidth="1"/>
    <col min="14347" max="14347" width="9.5703125" style="17" customWidth="1"/>
    <col min="14348" max="14348" width="0" style="17" hidden="1" customWidth="1"/>
    <col min="14349" max="14349" width="8.140625" style="17" customWidth="1"/>
    <col min="14350" max="14350" width="9.5703125" style="17" customWidth="1"/>
    <col min="14351" max="14351" width="10.85546875" style="17" customWidth="1"/>
    <col min="14352" max="14358" width="10" style="17" customWidth="1"/>
    <col min="14359" max="14359" width="12" style="17" customWidth="1"/>
    <col min="14360" max="14360" width="12.5703125" style="17" customWidth="1"/>
    <col min="14361" max="14361" width="20.140625" style="17" customWidth="1"/>
    <col min="14362" max="14362" width="10.42578125" style="17" bestFit="1" customWidth="1"/>
    <col min="14363" max="14363" width="14.140625" style="17" customWidth="1"/>
    <col min="14364" max="14587" width="9.140625" style="17"/>
    <col min="14588" max="14588" width="5.140625" style="17" customWidth="1"/>
    <col min="14589" max="14589" width="27.140625" style="17" customWidth="1"/>
    <col min="14590" max="14590" width="0" style="17" hidden="1" customWidth="1"/>
    <col min="14591" max="14591" width="5.85546875" style="17" customWidth="1"/>
    <col min="14592" max="14592" width="4.28515625" style="17" customWidth="1"/>
    <col min="14593" max="14593" width="12.5703125" style="17" customWidth="1"/>
    <col min="14594" max="14597" width="0" style="17" hidden="1" customWidth="1"/>
    <col min="14598" max="14598" width="10.140625" style="17" customWidth="1"/>
    <col min="14599" max="14599" width="11.7109375" style="17" customWidth="1"/>
    <col min="14600" max="14600" width="0" style="17" hidden="1" customWidth="1"/>
    <col min="14601" max="14601" width="8.5703125" style="17" customWidth="1"/>
    <col min="14602" max="14602" width="7.85546875" style="17" customWidth="1"/>
    <col min="14603" max="14603" width="9.5703125" style="17" customWidth="1"/>
    <col min="14604" max="14604" width="0" style="17" hidden="1" customWidth="1"/>
    <col min="14605" max="14605" width="8.140625" style="17" customWidth="1"/>
    <col min="14606" max="14606" width="9.5703125" style="17" customWidth="1"/>
    <col min="14607" max="14607" width="10.85546875" style="17" customWidth="1"/>
    <col min="14608" max="14614" width="10" style="17" customWidth="1"/>
    <col min="14615" max="14615" width="12" style="17" customWidth="1"/>
    <col min="14616" max="14616" width="12.5703125" style="17" customWidth="1"/>
    <col min="14617" max="14617" width="20.140625" style="17" customWidth="1"/>
    <col min="14618" max="14618" width="10.42578125" style="17" bestFit="1" customWidth="1"/>
    <col min="14619" max="14619" width="14.140625" style="17" customWidth="1"/>
    <col min="14620" max="14843" width="9.140625" style="17"/>
    <col min="14844" max="14844" width="5.140625" style="17" customWidth="1"/>
    <col min="14845" max="14845" width="27.140625" style="17" customWidth="1"/>
    <col min="14846" max="14846" width="0" style="17" hidden="1" customWidth="1"/>
    <col min="14847" max="14847" width="5.85546875" style="17" customWidth="1"/>
    <col min="14848" max="14848" width="4.28515625" style="17" customWidth="1"/>
    <col min="14849" max="14849" width="12.5703125" style="17" customWidth="1"/>
    <col min="14850" max="14853" width="0" style="17" hidden="1" customWidth="1"/>
    <col min="14854" max="14854" width="10.140625" style="17" customWidth="1"/>
    <col min="14855" max="14855" width="11.7109375" style="17" customWidth="1"/>
    <col min="14856" max="14856" width="0" style="17" hidden="1" customWidth="1"/>
    <col min="14857" max="14857" width="8.5703125" style="17" customWidth="1"/>
    <col min="14858" max="14858" width="7.85546875" style="17" customWidth="1"/>
    <col min="14859" max="14859" width="9.5703125" style="17" customWidth="1"/>
    <col min="14860" max="14860" width="0" style="17" hidden="1" customWidth="1"/>
    <col min="14861" max="14861" width="8.140625" style="17" customWidth="1"/>
    <col min="14862" max="14862" width="9.5703125" style="17" customWidth="1"/>
    <col min="14863" max="14863" width="10.85546875" style="17" customWidth="1"/>
    <col min="14864" max="14870" width="10" style="17" customWidth="1"/>
    <col min="14871" max="14871" width="12" style="17" customWidth="1"/>
    <col min="14872" max="14872" width="12.5703125" style="17" customWidth="1"/>
    <col min="14873" max="14873" width="20.140625" style="17" customWidth="1"/>
    <col min="14874" max="14874" width="10.42578125" style="17" bestFit="1" customWidth="1"/>
    <col min="14875" max="14875" width="14.140625" style="17" customWidth="1"/>
    <col min="14876" max="15099" width="9.140625" style="17"/>
    <col min="15100" max="15100" width="5.140625" style="17" customWidth="1"/>
    <col min="15101" max="15101" width="27.140625" style="17" customWidth="1"/>
    <col min="15102" max="15102" width="0" style="17" hidden="1" customWidth="1"/>
    <col min="15103" max="15103" width="5.85546875" style="17" customWidth="1"/>
    <col min="15104" max="15104" width="4.28515625" style="17" customWidth="1"/>
    <col min="15105" max="15105" width="12.5703125" style="17" customWidth="1"/>
    <col min="15106" max="15109" width="0" style="17" hidden="1" customWidth="1"/>
    <col min="15110" max="15110" width="10.140625" style="17" customWidth="1"/>
    <col min="15111" max="15111" width="11.7109375" style="17" customWidth="1"/>
    <col min="15112" max="15112" width="0" style="17" hidden="1" customWidth="1"/>
    <col min="15113" max="15113" width="8.5703125" style="17" customWidth="1"/>
    <col min="15114" max="15114" width="7.85546875" style="17" customWidth="1"/>
    <col min="15115" max="15115" width="9.5703125" style="17" customWidth="1"/>
    <col min="15116" max="15116" width="0" style="17" hidden="1" customWidth="1"/>
    <col min="15117" max="15117" width="8.140625" style="17" customWidth="1"/>
    <col min="15118" max="15118" width="9.5703125" style="17" customWidth="1"/>
    <col min="15119" max="15119" width="10.85546875" style="17" customWidth="1"/>
    <col min="15120" max="15126" width="10" style="17" customWidth="1"/>
    <col min="15127" max="15127" width="12" style="17" customWidth="1"/>
    <col min="15128" max="15128" width="12.5703125" style="17" customWidth="1"/>
    <col min="15129" max="15129" width="20.140625" style="17" customWidth="1"/>
    <col min="15130" max="15130" width="10.42578125" style="17" bestFit="1" customWidth="1"/>
    <col min="15131" max="15131" width="14.140625" style="17" customWidth="1"/>
    <col min="15132" max="15355" width="9.140625" style="17"/>
    <col min="15356" max="15356" width="5.140625" style="17" customWidth="1"/>
    <col min="15357" max="15357" width="27.140625" style="17" customWidth="1"/>
    <col min="15358" max="15358" width="0" style="17" hidden="1" customWidth="1"/>
    <col min="15359" max="15359" width="5.85546875" style="17" customWidth="1"/>
    <col min="15360" max="15360" width="4.28515625" style="17" customWidth="1"/>
    <col min="15361" max="15361" width="12.5703125" style="17" customWidth="1"/>
    <col min="15362" max="15365" width="0" style="17" hidden="1" customWidth="1"/>
    <col min="15366" max="15366" width="10.140625" style="17" customWidth="1"/>
    <col min="15367" max="15367" width="11.7109375" style="17" customWidth="1"/>
    <col min="15368" max="15368" width="0" style="17" hidden="1" customWidth="1"/>
    <col min="15369" max="15369" width="8.5703125" style="17" customWidth="1"/>
    <col min="15370" max="15370" width="7.85546875" style="17" customWidth="1"/>
    <col min="15371" max="15371" width="9.5703125" style="17" customWidth="1"/>
    <col min="15372" max="15372" width="0" style="17" hidden="1" customWidth="1"/>
    <col min="15373" max="15373" width="8.140625" style="17" customWidth="1"/>
    <col min="15374" max="15374" width="9.5703125" style="17" customWidth="1"/>
    <col min="15375" max="15375" width="10.85546875" style="17" customWidth="1"/>
    <col min="15376" max="15382" width="10" style="17" customWidth="1"/>
    <col min="15383" max="15383" width="12" style="17" customWidth="1"/>
    <col min="15384" max="15384" width="12.5703125" style="17" customWidth="1"/>
    <col min="15385" max="15385" width="20.140625" style="17" customWidth="1"/>
    <col min="15386" max="15386" width="10.42578125" style="17" bestFit="1" customWidth="1"/>
    <col min="15387" max="15387" width="14.140625" style="17" customWidth="1"/>
    <col min="15388" max="15611" width="9.140625" style="17"/>
    <col min="15612" max="15612" width="5.140625" style="17" customWidth="1"/>
    <col min="15613" max="15613" width="27.140625" style="17" customWidth="1"/>
    <col min="15614" max="15614" width="0" style="17" hidden="1" customWidth="1"/>
    <col min="15615" max="15615" width="5.85546875" style="17" customWidth="1"/>
    <col min="15616" max="15616" width="4.28515625" style="17" customWidth="1"/>
    <col min="15617" max="15617" width="12.5703125" style="17" customWidth="1"/>
    <col min="15618" max="15621" width="0" style="17" hidden="1" customWidth="1"/>
    <col min="15622" max="15622" width="10.140625" style="17" customWidth="1"/>
    <col min="15623" max="15623" width="11.7109375" style="17" customWidth="1"/>
    <col min="15624" max="15624" width="0" style="17" hidden="1" customWidth="1"/>
    <col min="15625" max="15625" width="8.5703125" style="17" customWidth="1"/>
    <col min="15626" max="15626" width="7.85546875" style="17" customWidth="1"/>
    <col min="15627" max="15627" width="9.5703125" style="17" customWidth="1"/>
    <col min="15628" max="15628" width="0" style="17" hidden="1" customWidth="1"/>
    <col min="15629" max="15629" width="8.140625" style="17" customWidth="1"/>
    <col min="15630" max="15630" width="9.5703125" style="17" customWidth="1"/>
    <col min="15631" max="15631" width="10.85546875" style="17" customWidth="1"/>
    <col min="15632" max="15638" width="10" style="17" customWidth="1"/>
    <col min="15639" max="15639" width="12" style="17" customWidth="1"/>
    <col min="15640" max="15640" width="12.5703125" style="17" customWidth="1"/>
    <col min="15641" max="15641" width="20.140625" style="17" customWidth="1"/>
    <col min="15642" max="15642" width="10.42578125" style="17" bestFit="1" customWidth="1"/>
    <col min="15643" max="15643" width="14.140625" style="17" customWidth="1"/>
    <col min="15644" max="15867" width="9.140625" style="17"/>
    <col min="15868" max="15868" width="5.140625" style="17" customWidth="1"/>
    <col min="15869" max="15869" width="27.140625" style="17" customWidth="1"/>
    <col min="15870" max="15870" width="0" style="17" hidden="1" customWidth="1"/>
    <col min="15871" max="15871" width="5.85546875" style="17" customWidth="1"/>
    <col min="15872" max="15872" width="4.28515625" style="17" customWidth="1"/>
    <col min="15873" max="15873" width="12.5703125" style="17" customWidth="1"/>
    <col min="15874" max="15877" width="0" style="17" hidden="1" customWidth="1"/>
    <col min="15878" max="15878" width="10.140625" style="17" customWidth="1"/>
    <col min="15879" max="15879" width="11.7109375" style="17" customWidth="1"/>
    <col min="15880" max="15880" width="0" style="17" hidden="1" customWidth="1"/>
    <col min="15881" max="15881" width="8.5703125" style="17" customWidth="1"/>
    <col min="15882" max="15882" width="7.85546875" style="17" customWidth="1"/>
    <col min="15883" max="15883" width="9.5703125" style="17" customWidth="1"/>
    <col min="15884" max="15884" width="0" style="17" hidden="1" customWidth="1"/>
    <col min="15885" max="15885" width="8.140625" style="17" customWidth="1"/>
    <col min="15886" max="15886" width="9.5703125" style="17" customWidth="1"/>
    <col min="15887" max="15887" width="10.85546875" style="17" customWidth="1"/>
    <col min="15888" max="15894" width="10" style="17" customWidth="1"/>
    <col min="15895" max="15895" width="12" style="17" customWidth="1"/>
    <col min="15896" max="15896" width="12.5703125" style="17" customWidth="1"/>
    <col min="15897" max="15897" width="20.140625" style="17" customWidth="1"/>
    <col min="15898" max="15898" width="10.42578125" style="17" bestFit="1" customWidth="1"/>
    <col min="15899" max="15899" width="14.140625" style="17" customWidth="1"/>
    <col min="15900" max="16123" width="9.140625" style="17"/>
    <col min="16124" max="16124" width="5.140625" style="17" customWidth="1"/>
    <col min="16125" max="16125" width="27.140625" style="17" customWidth="1"/>
    <col min="16126" max="16126" width="0" style="17" hidden="1" customWidth="1"/>
    <col min="16127" max="16127" width="5.85546875" style="17" customWidth="1"/>
    <col min="16128" max="16128" width="4.28515625" style="17" customWidth="1"/>
    <col min="16129" max="16129" width="12.5703125" style="17" customWidth="1"/>
    <col min="16130" max="16133" width="0" style="17" hidden="1" customWidth="1"/>
    <col min="16134" max="16134" width="10.140625" style="17" customWidth="1"/>
    <col min="16135" max="16135" width="11.7109375" style="17" customWidth="1"/>
    <col min="16136" max="16136" width="0" style="17" hidden="1" customWidth="1"/>
    <col min="16137" max="16137" width="8.5703125" style="17" customWidth="1"/>
    <col min="16138" max="16138" width="7.85546875" style="17" customWidth="1"/>
    <col min="16139" max="16139" width="9.5703125" style="17" customWidth="1"/>
    <col min="16140" max="16140" width="0" style="17" hidden="1" customWidth="1"/>
    <col min="16141" max="16141" width="8.140625" style="17" customWidth="1"/>
    <col min="16142" max="16142" width="9.5703125" style="17" customWidth="1"/>
    <col min="16143" max="16143" width="10.85546875" style="17" customWidth="1"/>
    <col min="16144" max="16150" width="10" style="17" customWidth="1"/>
    <col min="16151" max="16151" width="12" style="17" customWidth="1"/>
    <col min="16152" max="16152" width="12.5703125" style="17" customWidth="1"/>
    <col min="16153" max="16153" width="20.140625" style="17" customWidth="1"/>
    <col min="16154" max="16154" width="10.42578125" style="17" bestFit="1" customWidth="1"/>
    <col min="16155" max="16155" width="14.140625" style="17" customWidth="1"/>
    <col min="16156" max="16384" width="9.140625" style="17"/>
  </cols>
  <sheetData>
    <row r="1" spans="1:25" ht="20.25" customHeight="1" x14ac:dyDescent="0.25">
      <c r="H1" s="212"/>
      <c r="I1" s="212"/>
      <c r="J1" s="212"/>
      <c r="K1" s="212"/>
      <c r="L1" s="212"/>
      <c r="M1" s="212"/>
      <c r="N1" s="212"/>
      <c r="O1" s="212"/>
      <c r="P1" s="212"/>
      <c r="Q1" s="212"/>
      <c r="R1" s="615" t="s">
        <v>350</v>
      </c>
      <c r="S1" s="615"/>
      <c r="T1" s="615"/>
      <c r="U1" s="615"/>
    </row>
    <row r="2" spans="1:25" s="142" customFormat="1" ht="29.25" customHeight="1" x14ac:dyDescent="0.2">
      <c r="A2" s="597" t="s">
        <v>359</v>
      </c>
      <c r="B2" s="597"/>
      <c r="C2" s="597"/>
      <c r="D2" s="597"/>
      <c r="E2" s="597"/>
      <c r="F2" s="597"/>
      <c r="G2" s="597"/>
      <c r="H2" s="597"/>
      <c r="I2" s="597"/>
      <c r="J2" s="597"/>
      <c r="K2" s="597"/>
      <c r="L2" s="597"/>
      <c r="M2" s="597"/>
      <c r="N2" s="597"/>
      <c r="O2" s="597"/>
      <c r="P2" s="597"/>
      <c r="Q2" s="597"/>
      <c r="R2" s="597"/>
      <c r="S2" s="597"/>
      <c r="T2" s="597"/>
      <c r="U2" s="597"/>
      <c r="V2" s="141"/>
      <c r="W2" s="141"/>
      <c r="X2" s="141"/>
    </row>
    <row r="3" spans="1:25" s="142" customFormat="1" ht="16.5" customHeight="1" x14ac:dyDescent="0.2">
      <c r="A3" s="598" t="str">
        <f>'Tổng hợp KHV 2024'!A3:W3</f>
        <v>(Kèm theo Kế hoạch số ……./KH-UBND ngày ……./……/2023 của UBND huyện Tân Yên)</v>
      </c>
      <c r="B3" s="598"/>
      <c r="C3" s="598"/>
      <c r="D3" s="598"/>
      <c r="E3" s="598"/>
      <c r="F3" s="598"/>
      <c r="G3" s="598"/>
      <c r="H3" s="598"/>
      <c r="I3" s="598"/>
      <c r="J3" s="598"/>
      <c r="K3" s="598"/>
      <c r="L3" s="598"/>
      <c r="M3" s="598"/>
      <c r="N3" s="598"/>
      <c r="O3" s="598"/>
      <c r="P3" s="598"/>
      <c r="Q3" s="598"/>
      <c r="R3" s="598"/>
      <c r="S3" s="598"/>
      <c r="T3" s="598"/>
      <c r="U3" s="598"/>
      <c r="V3" s="143"/>
      <c r="W3" s="143"/>
      <c r="X3" s="143"/>
    </row>
    <row r="4" spans="1:25" s="142" customFormat="1" ht="15.75" x14ac:dyDescent="0.2">
      <c r="A4" s="599"/>
      <c r="B4" s="599"/>
      <c r="C4" s="599"/>
      <c r="D4" s="599"/>
      <c r="E4" s="599"/>
      <c r="F4" s="599"/>
      <c r="G4" s="599"/>
      <c r="H4" s="543"/>
      <c r="I4" s="543"/>
      <c r="J4" s="543"/>
      <c r="K4" s="543"/>
      <c r="L4" s="543"/>
      <c r="M4" s="543"/>
      <c r="N4" s="543"/>
      <c r="O4" s="543"/>
      <c r="P4" s="543"/>
      <c r="Q4" s="543"/>
      <c r="R4" s="602" t="s">
        <v>36</v>
      </c>
      <c r="S4" s="602"/>
      <c r="T4" s="602"/>
      <c r="U4" s="602"/>
      <c r="V4" s="144"/>
      <c r="W4" s="144"/>
      <c r="X4" s="144"/>
    </row>
    <row r="5" spans="1:25" s="145" customFormat="1" ht="19.5" customHeight="1" x14ac:dyDescent="0.2">
      <c r="A5" s="600" t="s">
        <v>35</v>
      </c>
      <c r="B5" s="594" t="s">
        <v>34</v>
      </c>
      <c r="C5" s="594" t="s">
        <v>284</v>
      </c>
      <c r="D5" s="600" t="s">
        <v>152</v>
      </c>
      <c r="E5" s="601" t="s">
        <v>33</v>
      </c>
      <c r="F5" s="594" t="s">
        <v>32</v>
      </c>
      <c r="G5" s="594" t="s">
        <v>31</v>
      </c>
      <c r="H5" s="594" t="s">
        <v>233</v>
      </c>
      <c r="I5" s="578" t="s">
        <v>40</v>
      </c>
      <c r="J5" s="579"/>
      <c r="K5" s="580"/>
      <c r="L5" s="578" t="s">
        <v>145</v>
      </c>
      <c r="M5" s="579"/>
      <c r="N5" s="579"/>
      <c r="O5" s="579"/>
      <c r="P5" s="579"/>
      <c r="Q5" s="579"/>
      <c r="R5" s="580"/>
      <c r="S5" s="584" t="s">
        <v>141</v>
      </c>
      <c r="T5" s="584" t="s">
        <v>30</v>
      </c>
      <c r="U5" s="587" t="s">
        <v>30</v>
      </c>
      <c r="V5" s="587"/>
      <c r="W5" s="595" t="s">
        <v>189</v>
      </c>
      <c r="X5" s="577" t="s">
        <v>188</v>
      </c>
    </row>
    <row r="6" spans="1:25" s="146" customFormat="1" ht="16.5" customHeight="1" x14ac:dyDescent="0.2">
      <c r="A6" s="600"/>
      <c r="B6" s="594"/>
      <c r="C6" s="594"/>
      <c r="D6" s="600"/>
      <c r="E6" s="601"/>
      <c r="F6" s="594"/>
      <c r="G6" s="594"/>
      <c r="H6" s="594"/>
      <c r="I6" s="581"/>
      <c r="J6" s="582"/>
      <c r="K6" s="583"/>
      <c r="L6" s="581"/>
      <c r="M6" s="582"/>
      <c r="N6" s="582"/>
      <c r="O6" s="582"/>
      <c r="P6" s="582"/>
      <c r="Q6" s="582"/>
      <c r="R6" s="583"/>
      <c r="S6" s="585"/>
      <c r="T6" s="585"/>
      <c r="U6" s="587"/>
      <c r="V6" s="587"/>
      <c r="W6" s="595"/>
      <c r="X6" s="577"/>
    </row>
    <row r="7" spans="1:25" s="146" customFormat="1" ht="20.25" customHeight="1" x14ac:dyDescent="0.2">
      <c r="A7" s="600"/>
      <c r="B7" s="594"/>
      <c r="C7" s="594"/>
      <c r="D7" s="600"/>
      <c r="E7" s="601"/>
      <c r="F7" s="594"/>
      <c r="G7" s="594"/>
      <c r="H7" s="594"/>
      <c r="I7" s="584" t="s">
        <v>298</v>
      </c>
      <c r="J7" s="584" t="s">
        <v>299</v>
      </c>
      <c r="K7" s="584" t="s">
        <v>173</v>
      </c>
      <c r="L7" s="584" t="s">
        <v>182</v>
      </c>
      <c r="M7" s="588" t="s">
        <v>40</v>
      </c>
      <c r="N7" s="589"/>
      <c r="O7" s="589"/>
      <c r="P7" s="589"/>
      <c r="Q7" s="589"/>
      <c r="R7" s="590"/>
      <c r="S7" s="585"/>
      <c r="T7" s="585"/>
      <c r="U7" s="587"/>
      <c r="V7" s="587"/>
      <c r="W7" s="595"/>
      <c r="X7" s="577"/>
    </row>
    <row r="8" spans="1:25" s="146" customFormat="1" ht="12.75" customHeight="1" x14ac:dyDescent="0.2">
      <c r="A8" s="600"/>
      <c r="B8" s="594"/>
      <c r="C8" s="594"/>
      <c r="D8" s="600"/>
      <c r="E8" s="601"/>
      <c r="F8" s="594"/>
      <c r="G8" s="594"/>
      <c r="H8" s="594"/>
      <c r="I8" s="585"/>
      <c r="J8" s="585"/>
      <c r="K8" s="585"/>
      <c r="L8" s="585"/>
      <c r="M8" s="584" t="s">
        <v>147</v>
      </c>
      <c r="N8" s="584" t="s">
        <v>148</v>
      </c>
      <c r="O8" s="584" t="s">
        <v>149</v>
      </c>
      <c r="P8" s="584" t="s">
        <v>318</v>
      </c>
      <c r="Q8" s="584" t="s">
        <v>195</v>
      </c>
      <c r="R8" s="584" t="s">
        <v>196</v>
      </c>
      <c r="S8" s="585"/>
      <c r="T8" s="585"/>
      <c r="U8" s="587"/>
      <c r="V8" s="587"/>
      <c r="W8" s="595"/>
      <c r="X8" s="577"/>
    </row>
    <row r="9" spans="1:25" s="146" customFormat="1" ht="45" customHeight="1" x14ac:dyDescent="0.2">
      <c r="A9" s="600"/>
      <c r="B9" s="594"/>
      <c r="C9" s="594"/>
      <c r="D9" s="600"/>
      <c r="E9" s="601"/>
      <c r="F9" s="594"/>
      <c r="G9" s="594"/>
      <c r="H9" s="594"/>
      <c r="I9" s="586"/>
      <c r="J9" s="586"/>
      <c r="K9" s="586"/>
      <c r="L9" s="586"/>
      <c r="M9" s="586"/>
      <c r="N9" s="586"/>
      <c r="O9" s="586"/>
      <c r="P9" s="586"/>
      <c r="Q9" s="586"/>
      <c r="R9" s="586"/>
      <c r="S9" s="586"/>
      <c r="T9" s="586"/>
      <c r="U9" s="587"/>
      <c r="V9" s="587"/>
      <c r="W9" s="595"/>
      <c r="X9" s="577"/>
      <c r="Y9" s="147">
        <v>3333333</v>
      </c>
    </row>
    <row r="10" spans="1:25" s="146" customFormat="1" ht="45" hidden="1" customHeight="1" x14ac:dyDescent="0.2">
      <c r="A10" s="544">
        <v>1</v>
      </c>
      <c r="B10" s="544">
        <v>2</v>
      </c>
      <c r="C10" s="544">
        <v>3</v>
      </c>
      <c r="D10" s="545">
        <v>4</v>
      </c>
      <c r="E10" s="544">
        <v>5</v>
      </c>
      <c r="F10" s="545">
        <v>6</v>
      </c>
      <c r="G10" s="544">
        <v>7</v>
      </c>
      <c r="H10" s="545">
        <v>8</v>
      </c>
      <c r="I10" s="544">
        <v>9</v>
      </c>
      <c r="J10" s="545">
        <v>10</v>
      </c>
      <c r="K10" s="544">
        <v>11</v>
      </c>
      <c r="L10" s="545">
        <v>12</v>
      </c>
      <c r="M10" s="544">
        <v>13</v>
      </c>
      <c r="N10" s="545">
        <v>14</v>
      </c>
      <c r="O10" s="544">
        <v>15</v>
      </c>
      <c r="P10" s="545">
        <v>16</v>
      </c>
      <c r="Q10" s="544">
        <v>17</v>
      </c>
      <c r="R10" s="545">
        <v>18</v>
      </c>
      <c r="S10" s="544">
        <v>19</v>
      </c>
      <c r="T10" s="452"/>
      <c r="U10" s="545">
        <v>20</v>
      </c>
      <c r="V10" s="546"/>
      <c r="W10" s="189"/>
      <c r="X10" s="189"/>
      <c r="Y10" s="147"/>
    </row>
    <row r="11" spans="1:25" s="16" customFormat="1" ht="35.25" customHeight="1" x14ac:dyDescent="0.2">
      <c r="A11" s="11"/>
      <c r="B11" s="267" t="s">
        <v>41</v>
      </c>
      <c r="C11" s="267"/>
      <c r="D11" s="15"/>
      <c r="E11" s="41"/>
      <c r="F11" s="148">
        <f>F12</f>
        <v>23</v>
      </c>
      <c r="G11" s="148">
        <f t="shared" ref="G11:V11" si="0">G12</f>
        <v>273210.52299999999</v>
      </c>
      <c r="H11" s="148">
        <f t="shared" si="0"/>
        <v>13900</v>
      </c>
      <c r="I11" s="148">
        <f t="shared" si="0"/>
        <v>0</v>
      </c>
      <c r="J11" s="148">
        <f t="shared" si="0"/>
        <v>7500</v>
      </c>
      <c r="K11" s="148">
        <f t="shared" si="0"/>
        <v>6400</v>
      </c>
      <c r="L11" s="148">
        <f t="shared" si="0"/>
        <v>167776</v>
      </c>
      <c r="M11" s="148">
        <f t="shared" si="0"/>
        <v>0</v>
      </c>
      <c r="N11" s="148">
        <f t="shared" si="0"/>
        <v>0</v>
      </c>
      <c r="O11" s="148">
        <f t="shared" si="0"/>
        <v>51106</v>
      </c>
      <c r="P11" s="148">
        <f t="shared" si="0"/>
        <v>116670</v>
      </c>
      <c r="Q11" s="148">
        <f t="shared" si="0"/>
        <v>0</v>
      </c>
      <c r="R11" s="148">
        <f t="shared" si="0"/>
        <v>0</v>
      </c>
      <c r="S11" s="148">
        <f t="shared" si="0"/>
        <v>181676</v>
      </c>
      <c r="T11" s="148"/>
      <c r="U11" s="148">
        <f t="shared" si="0"/>
        <v>81963.156900000016</v>
      </c>
      <c r="V11" s="148">
        <f t="shared" si="0"/>
        <v>0</v>
      </c>
      <c r="W11" s="168"/>
      <c r="X11" s="168">
        <f t="shared" ref="X11" si="1">G11-H11</f>
        <v>259310.52299999999</v>
      </c>
    </row>
    <row r="12" spans="1:25" s="16" customFormat="1" ht="16.5" x14ac:dyDescent="0.2">
      <c r="A12" s="11"/>
      <c r="B12" s="267" t="s">
        <v>229</v>
      </c>
      <c r="C12" s="267"/>
      <c r="D12" s="157"/>
      <c r="E12" s="41"/>
      <c r="F12" s="148">
        <f t="shared" ref="F12:S12" si="2">SUM(F13:F35)</f>
        <v>23</v>
      </c>
      <c r="G12" s="148">
        <f t="shared" si="2"/>
        <v>273210.52299999999</v>
      </c>
      <c r="H12" s="148">
        <f t="shared" si="2"/>
        <v>13900</v>
      </c>
      <c r="I12" s="148">
        <f t="shared" si="2"/>
        <v>0</v>
      </c>
      <c r="J12" s="148">
        <f t="shared" si="2"/>
        <v>7500</v>
      </c>
      <c r="K12" s="148">
        <f t="shared" si="2"/>
        <v>6400</v>
      </c>
      <c r="L12" s="148">
        <f t="shared" si="2"/>
        <v>167776</v>
      </c>
      <c r="M12" s="148">
        <f t="shared" si="2"/>
        <v>0</v>
      </c>
      <c r="N12" s="148">
        <f t="shared" si="2"/>
        <v>0</v>
      </c>
      <c r="O12" s="148">
        <f t="shared" si="2"/>
        <v>51106</v>
      </c>
      <c r="P12" s="148">
        <f t="shared" si="2"/>
        <v>116670</v>
      </c>
      <c r="Q12" s="148">
        <f t="shared" si="2"/>
        <v>0</v>
      </c>
      <c r="R12" s="148">
        <f t="shared" si="2"/>
        <v>0</v>
      </c>
      <c r="S12" s="148">
        <f t="shared" si="2"/>
        <v>181676</v>
      </c>
      <c r="T12" s="148"/>
      <c r="U12" s="148">
        <f>SUM(U13:U35)</f>
        <v>81963.156900000016</v>
      </c>
      <c r="V12" s="148">
        <f>SUM(V13:V35)</f>
        <v>0</v>
      </c>
      <c r="W12" s="168"/>
      <c r="X12" s="168"/>
      <c r="Y12" s="19"/>
    </row>
    <row r="13" spans="1:25" s="16" customFormat="1" ht="38.25" x14ac:dyDescent="0.2">
      <c r="A13" s="11">
        <v>1</v>
      </c>
      <c r="B13" s="460" t="s">
        <v>458</v>
      </c>
      <c r="C13" s="100" t="s">
        <v>208</v>
      </c>
      <c r="D13" s="157"/>
      <c r="E13" s="41"/>
      <c r="F13" s="148">
        <v>1</v>
      </c>
      <c r="G13" s="148">
        <v>14960</v>
      </c>
      <c r="H13" s="148">
        <f>SUM(I13:K13)</f>
        <v>0</v>
      </c>
      <c r="I13" s="148"/>
      <c r="J13" s="148"/>
      <c r="K13" s="148">
        <f>500-500</f>
        <v>0</v>
      </c>
      <c r="L13" s="148">
        <f>SUM(M13:R13)</f>
        <v>14460</v>
      </c>
      <c r="M13" s="148"/>
      <c r="N13" s="148"/>
      <c r="O13" s="148">
        <v>1000</v>
      </c>
      <c r="P13" s="148">
        <v>13460</v>
      </c>
      <c r="Q13" s="148"/>
      <c r="R13" s="148"/>
      <c r="S13" s="148">
        <f t="shared" ref="S13:S33" si="3">H13+L13</f>
        <v>14460</v>
      </c>
      <c r="T13" s="492" t="s">
        <v>447</v>
      </c>
      <c r="U13" s="38">
        <f>+G13*30%</f>
        <v>4488</v>
      </c>
      <c r="V13" s="38"/>
      <c r="W13" s="168"/>
      <c r="X13" s="168"/>
      <c r="Y13" s="19"/>
    </row>
    <row r="14" spans="1:25" s="16" customFormat="1" ht="38.25" x14ac:dyDescent="0.2">
      <c r="A14" s="11">
        <v>2</v>
      </c>
      <c r="B14" s="460" t="s">
        <v>459</v>
      </c>
      <c r="C14" s="100" t="s">
        <v>208</v>
      </c>
      <c r="D14" s="157"/>
      <c r="E14" s="41"/>
      <c r="F14" s="148">
        <v>1</v>
      </c>
      <c r="G14" s="148">
        <v>11520</v>
      </c>
      <c r="H14" s="148">
        <f t="shared" ref="H14:H33" si="4">SUM(I14:K14)</f>
        <v>0</v>
      </c>
      <c r="I14" s="148"/>
      <c r="J14" s="148"/>
      <c r="K14" s="148">
        <f>500-500</f>
        <v>0</v>
      </c>
      <c r="L14" s="148">
        <f t="shared" ref="L14:L33" si="5">SUM(M14:R14)</f>
        <v>11000</v>
      </c>
      <c r="M14" s="148"/>
      <c r="N14" s="148"/>
      <c r="O14" s="148">
        <v>1000</v>
      </c>
      <c r="P14" s="148">
        <v>10000</v>
      </c>
      <c r="Q14" s="148"/>
      <c r="R14" s="148"/>
      <c r="S14" s="148">
        <f t="shared" si="3"/>
        <v>11000</v>
      </c>
      <c r="T14" s="492" t="s">
        <v>447</v>
      </c>
      <c r="U14" s="38">
        <f t="shared" ref="U14:U33" si="6">+G14*30%</f>
        <v>3456</v>
      </c>
      <c r="V14" s="38"/>
      <c r="W14" s="168"/>
      <c r="X14" s="168"/>
      <c r="Y14" s="19"/>
    </row>
    <row r="15" spans="1:25" s="16" customFormat="1" ht="38.25" x14ac:dyDescent="0.2">
      <c r="A15" s="11">
        <v>3</v>
      </c>
      <c r="B15" s="460" t="s">
        <v>460</v>
      </c>
      <c r="C15" s="100" t="s">
        <v>446</v>
      </c>
      <c r="D15" s="157"/>
      <c r="E15" s="41"/>
      <c r="F15" s="148">
        <v>1</v>
      </c>
      <c r="G15" s="148">
        <v>15000</v>
      </c>
      <c r="H15" s="148">
        <f t="shared" si="4"/>
        <v>0</v>
      </c>
      <c r="I15" s="148"/>
      <c r="J15" s="148"/>
      <c r="K15" s="148"/>
      <c r="L15" s="148">
        <f t="shared" si="5"/>
        <v>14730</v>
      </c>
      <c r="M15" s="148"/>
      <c r="N15" s="148"/>
      <c r="O15" s="148">
        <v>1500</v>
      </c>
      <c r="P15" s="148">
        <v>13230</v>
      </c>
      <c r="Q15" s="148"/>
      <c r="R15" s="148"/>
      <c r="S15" s="148">
        <f t="shared" si="3"/>
        <v>14730</v>
      </c>
      <c r="T15" s="492" t="s">
        <v>447</v>
      </c>
      <c r="U15" s="38">
        <f t="shared" si="6"/>
        <v>4500</v>
      </c>
      <c r="V15" s="38"/>
      <c r="W15" s="168"/>
      <c r="X15" s="168"/>
      <c r="Y15" s="19"/>
    </row>
    <row r="16" spans="1:25" s="16" customFormat="1" ht="49.5" x14ac:dyDescent="0.2">
      <c r="A16" s="11">
        <v>4</v>
      </c>
      <c r="B16" s="460" t="s">
        <v>461</v>
      </c>
      <c r="C16" s="100" t="s">
        <v>211</v>
      </c>
      <c r="D16" s="157" t="s">
        <v>310</v>
      </c>
      <c r="E16" s="41"/>
      <c r="F16" s="148">
        <v>1</v>
      </c>
      <c r="G16" s="148">
        <v>11253.725</v>
      </c>
      <c r="H16" s="148">
        <f>3800-3800</f>
        <v>0</v>
      </c>
      <c r="I16" s="148"/>
      <c r="J16" s="148"/>
      <c r="K16" s="148"/>
      <c r="L16" s="148">
        <f t="shared" si="5"/>
        <v>4000</v>
      </c>
      <c r="M16" s="148"/>
      <c r="N16" s="148"/>
      <c r="O16" s="148">
        <v>4000</v>
      </c>
      <c r="P16" s="148"/>
      <c r="Q16" s="148"/>
      <c r="R16" s="148"/>
      <c r="S16" s="148">
        <f t="shared" si="3"/>
        <v>4000</v>
      </c>
      <c r="T16" s="148"/>
      <c r="U16" s="38">
        <f t="shared" si="6"/>
        <v>3376.1174999999998</v>
      </c>
      <c r="V16" s="38"/>
      <c r="W16" s="168"/>
      <c r="X16" s="168"/>
      <c r="Y16" s="19"/>
    </row>
    <row r="17" spans="1:25" s="16" customFormat="1" ht="49.5" x14ac:dyDescent="0.25">
      <c r="A17" s="11">
        <v>5</v>
      </c>
      <c r="B17" s="542" t="s">
        <v>462</v>
      </c>
      <c r="C17" s="214" t="s">
        <v>212</v>
      </c>
      <c r="D17" s="157"/>
      <c r="E17" s="41"/>
      <c r="F17" s="148">
        <v>1</v>
      </c>
      <c r="G17" s="148">
        <v>4300</v>
      </c>
      <c r="H17" s="148">
        <f t="shared" si="4"/>
        <v>0</v>
      </c>
      <c r="I17" s="148"/>
      <c r="J17" s="148"/>
      <c r="K17" s="148">
        <f>500-500</f>
        <v>0</v>
      </c>
      <c r="L17" s="148">
        <f t="shared" si="5"/>
        <v>2000</v>
      </c>
      <c r="M17" s="148"/>
      <c r="N17" s="148"/>
      <c r="O17" s="148">
        <v>2000</v>
      </c>
      <c r="P17" s="148"/>
      <c r="Q17" s="148"/>
      <c r="R17" s="148"/>
      <c r="S17" s="148">
        <f t="shared" si="3"/>
        <v>2000</v>
      </c>
      <c r="T17" s="148"/>
      <c r="U17" s="38">
        <f t="shared" si="6"/>
        <v>1290</v>
      </c>
      <c r="V17" s="38"/>
      <c r="W17" s="168"/>
      <c r="X17" s="168"/>
      <c r="Y17" s="19"/>
    </row>
    <row r="18" spans="1:25" s="16" customFormat="1" ht="49.5" x14ac:dyDescent="0.2">
      <c r="A18" s="11">
        <v>6</v>
      </c>
      <c r="B18" s="460" t="s">
        <v>463</v>
      </c>
      <c r="C18" s="100" t="s">
        <v>213</v>
      </c>
      <c r="D18" s="157"/>
      <c r="E18" s="41"/>
      <c r="F18" s="148">
        <v>1</v>
      </c>
      <c r="G18" s="148">
        <v>13616.716</v>
      </c>
      <c r="H18" s="148">
        <f t="shared" si="4"/>
        <v>0</v>
      </c>
      <c r="I18" s="148"/>
      <c r="J18" s="148"/>
      <c r="K18" s="148">
        <f>1690-1690</f>
        <v>0</v>
      </c>
      <c r="L18" s="148">
        <f t="shared" si="5"/>
        <v>11400</v>
      </c>
      <c r="M18" s="148"/>
      <c r="N18" s="148"/>
      <c r="O18" s="148">
        <v>0</v>
      </c>
      <c r="P18" s="148">
        <v>11400</v>
      </c>
      <c r="Q18" s="148"/>
      <c r="R18" s="148"/>
      <c r="S18" s="148">
        <f t="shared" si="3"/>
        <v>11400</v>
      </c>
      <c r="T18" s="492" t="s">
        <v>447</v>
      </c>
      <c r="U18" s="38">
        <f t="shared" si="6"/>
        <v>4085.0147999999999</v>
      </c>
      <c r="V18" s="38"/>
      <c r="W18" s="168"/>
      <c r="X18" s="168"/>
      <c r="Y18" s="19"/>
    </row>
    <row r="19" spans="1:25" s="16" customFormat="1" ht="49.5" x14ac:dyDescent="0.2">
      <c r="A19" s="11">
        <v>7</v>
      </c>
      <c r="B19" s="460" t="s">
        <v>464</v>
      </c>
      <c r="C19" s="100" t="s">
        <v>213</v>
      </c>
      <c r="D19" s="157"/>
      <c r="E19" s="41"/>
      <c r="F19" s="148">
        <v>1</v>
      </c>
      <c r="G19" s="148">
        <v>10056</v>
      </c>
      <c r="H19" s="148">
        <f t="shared" si="4"/>
        <v>0</v>
      </c>
      <c r="I19" s="148"/>
      <c r="J19" s="148"/>
      <c r="K19" s="148">
        <f>500-500</f>
        <v>0</v>
      </c>
      <c r="L19" s="148">
        <f t="shared" si="5"/>
        <v>9400</v>
      </c>
      <c r="M19" s="148"/>
      <c r="N19" s="148"/>
      <c r="O19" s="148">
        <v>1000</v>
      </c>
      <c r="P19" s="148">
        <v>8400</v>
      </c>
      <c r="Q19" s="148"/>
      <c r="R19" s="148"/>
      <c r="S19" s="148">
        <f t="shared" si="3"/>
        <v>9400</v>
      </c>
      <c r="T19" s="492" t="s">
        <v>447</v>
      </c>
      <c r="U19" s="38">
        <f t="shared" si="6"/>
        <v>3016.7999999999997</v>
      </c>
      <c r="V19" s="38"/>
      <c r="W19" s="168"/>
      <c r="X19" s="168"/>
      <c r="Y19" s="19"/>
    </row>
    <row r="20" spans="1:25" s="16" customFormat="1" ht="49.5" x14ac:dyDescent="0.2">
      <c r="A20" s="11"/>
      <c r="B20" s="460" t="s">
        <v>499</v>
      </c>
      <c r="C20" s="100" t="s">
        <v>214</v>
      </c>
      <c r="D20" s="157"/>
      <c r="E20" s="41"/>
      <c r="F20" s="148">
        <v>1</v>
      </c>
      <c r="G20" s="148">
        <v>12328.689</v>
      </c>
      <c r="H20" s="148">
        <f t="shared" si="4"/>
        <v>4500</v>
      </c>
      <c r="I20" s="148"/>
      <c r="J20" s="148">
        <v>500</v>
      </c>
      <c r="K20" s="148">
        <v>4000</v>
      </c>
      <c r="L20" s="148">
        <f t="shared" si="5"/>
        <v>6000</v>
      </c>
      <c r="M20" s="148"/>
      <c r="N20" s="148"/>
      <c r="O20" s="148"/>
      <c r="P20" s="148">
        <v>6000</v>
      </c>
      <c r="Q20" s="148"/>
      <c r="R20" s="148"/>
      <c r="S20" s="148">
        <f t="shared" si="3"/>
        <v>10500</v>
      </c>
      <c r="T20" s="492"/>
      <c r="U20" s="38">
        <f t="shared" si="6"/>
        <v>3698.6066999999998</v>
      </c>
      <c r="V20" s="38"/>
      <c r="W20" s="168"/>
      <c r="X20" s="168"/>
      <c r="Y20" s="19"/>
    </row>
    <row r="21" spans="1:25" s="16" customFormat="1" ht="33" x14ac:dyDescent="0.2">
      <c r="A21" s="11">
        <v>8</v>
      </c>
      <c r="B21" s="102" t="s">
        <v>142</v>
      </c>
      <c r="C21" s="214" t="s">
        <v>216</v>
      </c>
      <c r="D21" s="157"/>
      <c r="E21" s="41"/>
      <c r="F21" s="148">
        <v>1</v>
      </c>
      <c r="G21" s="148">
        <v>14980</v>
      </c>
      <c r="H21" s="148">
        <f t="shared" si="4"/>
        <v>0</v>
      </c>
      <c r="I21" s="148"/>
      <c r="J21" s="148"/>
      <c r="K21" s="148"/>
      <c r="L21" s="148">
        <f t="shared" si="5"/>
        <v>5500</v>
      </c>
      <c r="M21" s="148"/>
      <c r="N21" s="148"/>
      <c r="O21" s="148">
        <v>5500</v>
      </c>
      <c r="P21" s="148"/>
      <c r="Q21" s="148"/>
      <c r="R21" s="148"/>
      <c r="S21" s="148">
        <f t="shared" si="3"/>
        <v>5500</v>
      </c>
      <c r="T21" s="148"/>
      <c r="U21" s="38">
        <f t="shared" si="6"/>
        <v>4494</v>
      </c>
      <c r="V21" s="38"/>
      <c r="W21" s="168"/>
      <c r="X21" s="168"/>
      <c r="Y21" s="19"/>
    </row>
    <row r="22" spans="1:25" s="16" customFormat="1" ht="38.25" x14ac:dyDescent="0.2">
      <c r="A22" s="11">
        <v>9</v>
      </c>
      <c r="B22" s="102" t="s">
        <v>465</v>
      </c>
      <c r="C22" s="214" t="s">
        <v>217</v>
      </c>
      <c r="D22" s="157"/>
      <c r="E22" s="41"/>
      <c r="F22" s="148">
        <v>1</v>
      </c>
      <c r="G22" s="148">
        <v>14970</v>
      </c>
      <c r="H22" s="148">
        <f t="shared" si="4"/>
        <v>500</v>
      </c>
      <c r="I22" s="148"/>
      <c r="J22" s="148"/>
      <c r="K22" s="148">
        <v>500</v>
      </c>
      <c r="L22" s="148">
        <f t="shared" si="5"/>
        <v>13000</v>
      </c>
      <c r="M22" s="148"/>
      <c r="N22" s="148"/>
      <c r="O22" s="148">
        <v>500</v>
      </c>
      <c r="P22" s="148">
        <v>12500</v>
      </c>
      <c r="Q22" s="148"/>
      <c r="R22" s="148"/>
      <c r="S22" s="148">
        <f t="shared" si="3"/>
        <v>13500</v>
      </c>
      <c r="T22" s="492" t="s">
        <v>447</v>
      </c>
      <c r="U22" s="38">
        <f t="shared" si="6"/>
        <v>4491</v>
      </c>
      <c r="V22" s="38"/>
      <c r="W22" s="168"/>
      <c r="X22" s="168"/>
      <c r="Y22" s="19"/>
    </row>
    <row r="23" spans="1:25" s="16" customFormat="1" ht="33" x14ac:dyDescent="0.2">
      <c r="A23" s="11">
        <v>10</v>
      </c>
      <c r="B23" s="102" t="s">
        <v>466</v>
      </c>
      <c r="C23" s="214" t="s">
        <v>217</v>
      </c>
      <c r="D23" s="157"/>
      <c r="E23" s="41"/>
      <c r="F23" s="148">
        <v>1</v>
      </c>
      <c r="G23" s="148">
        <v>14962.52</v>
      </c>
      <c r="H23" s="148">
        <f t="shared" si="4"/>
        <v>0</v>
      </c>
      <c r="I23" s="148"/>
      <c r="J23" s="148"/>
      <c r="K23" s="148"/>
      <c r="L23" s="148">
        <f t="shared" si="5"/>
        <v>5000</v>
      </c>
      <c r="M23" s="148"/>
      <c r="N23" s="148"/>
      <c r="O23" s="148">
        <v>5000</v>
      </c>
      <c r="P23" s="148"/>
      <c r="Q23" s="148"/>
      <c r="R23" s="148"/>
      <c r="S23" s="148">
        <f t="shared" si="3"/>
        <v>5000</v>
      </c>
      <c r="T23" s="148"/>
      <c r="U23" s="38">
        <f t="shared" si="6"/>
        <v>4488.7560000000003</v>
      </c>
      <c r="V23" s="38"/>
      <c r="W23" s="168"/>
      <c r="X23" s="168"/>
      <c r="Y23" s="19"/>
    </row>
    <row r="24" spans="1:25" s="16" customFormat="1" ht="38.25" x14ac:dyDescent="0.2">
      <c r="A24" s="11">
        <v>11</v>
      </c>
      <c r="B24" s="102" t="s">
        <v>467</v>
      </c>
      <c r="C24" s="214" t="s">
        <v>217</v>
      </c>
      <c r="D24" s="157"/>
      <c r="E24" s="41"/>
      <c r="F24" s="148">
        <v>1</v>
      </c>
      <c r="G24" s="148">
        <v>11085</v>
      </c>
      <c r="H24" s="148">
        <f t="shared" si="4"/>
        <v>0</v>
      </c>
      <c r="I24" s="148"/>
      <c r="J24" s="148"/>
      <c r="K24" s="148">
        <f>500-500</f>
        <v>0</v>
      </c>
      <c r="L24" s="148">
        <f t="shared" si="5"/>
        <v>9800</v>
      </c>
      <c r="M24" s="148"/>
      <c r="N24" s="148"/>
      <c r="O24" s="148">
        <v>500</v>
      </c>
      <c r="P24" s="148">
        <v>9300</v>
      </c>
      <c r="Q24" s="148"/>
      <c r="R24" s="148"/>
      <c r="S24" s="148">
        <f t="shared" si="3"/>
        <v>9800</v>
      </c>
      <c r="T24" s="492" t="s">
        <v>447</v>
      </c>
      <c r="U24" s="38">
        <f t="shared" si="6"/>
        <v>3325.5</v>
      </c>
      <c r="V24" s="38"/>
      <c r="W24" s="168"/>
      <c r="X24" s="168"/>
      <c r="Y24" s="19"/>
    </row>
    <row r="25" spans="1:25" s="16" customFormat="1" ht="49.5" x14ac:dyDescent="0.2">
      <c r="A25" s="11">
        <v>12</v>
      </c>
      <c r="B25" s="460" t="s">
        <v>468</v>
      </c>
      <c r="C25" s="100" t="s">
        <v>219</v>
      </c>
      <c r="D25" s="157" t="s">
        <v>311</v>
      </c>
      <c r="E25" s="41"/>
      <c r="F25" s="148">
        <v>1</v>
      </c>
      <c r="G25" s="148">
        <v>12277.778</v>
      </c>
      <c r="H25" s="148">
        <f t="shared" si="4"/>
        <v>6500</v>
      </c>
      <c r="I25" s="148"/>
      <c r="J25" s="148">
        <v>6000</v>
      </c>
      <c r="K25" s="148">
        <v>500</v>
      </c>
      <c r="L25" s="148">
        <f t="shared" si="5"/>
        <v>6000</v>
      </c>
      <c r="M25" s="148"/>
      <c r="N25" s="148"/>
      <c r="O25" s="148">
        <v>0</v>
      </c>
      <c r="P25" s="148">
        <v>6000</v>
      </c>
      <c r="Q25" s="148"/>
      <c r="R25" s="148"/>
      <c r="S25" s="148">
        <f t="shared" ref="S25" si="7">H25+L25</f>
        <v>12500</v>
      </c>
      <c r="T25" s="148"/>
      <c r="U25" s="38">
        <f t="shared" si="6"/>
        <v>3683.3334</v>
      </c>
      <c r="V25" s="38"/>
      <c r="W25" s="168"/>
      <c r="X25" s="168"/>
      <c r="Y25" s="19"/>
    </row>
    <row r="26" spans="1:25" s="16" customFormat="1" ht="33" x14ac:dyDescent="0.2">
      <c r="A26" s="11">
        <v>13</v>
      </c>
      <c r="B26" s="102" t="s">
        <v>469</v>
      </c>
      <c r="C26" s="214" t="s">
        <v>220</v>
      </c>
      <c r="D26" s="157"/>
      <c r="E26" s="41"/>
      <c r="F26" s="148">
        <v>1</v>
      </c>
      <c r="G26" s="148">
        <v>10221.277</v>
      </c>
      <c r="H26" s="148">
        <f t="shared" si="4"/>
        <v>0</v>
      </c>
      <c r="I26" s="148"/>
      <c r="J26" s="148">
        <f>3000-3000</f>
        <v>0</v>
      </c>
      <c r="K26" s="148">
        <f>3000-3000</f>
        <v>0</v>
      </c>
      <c r="L26" s="148">
        <f t="shared" si="5"/>
        <v>4000</v>
      </c>
      <c r="M26" s="148"/>
      <c r="N26" s="148"/>
      <c r="O26" s="148">
        <v>4000</v>
      </c>
      <c r="P26" s="148"/>
      <c r="Q26" s="148"/>
      <c r="R26" s="148"/>
      <c r="S26" s="148">
        <f t="shared" si="3"/>
        <v>4000</v>
      </c>
      <c r="T26" s="148"/>
      <c r="U26" s="38">
        <f t="shared" si="6"/>
        <v>3066.3831</v>
      </c>
      <c r="V26" s="38"/>
      <c r="W26" s="168"/>
      <c r="X26" s="168"/>
      <c r="Y26" s="19"/>
    </row>
    <row r="27" spans="1:25" s="16" customFormat="1" ht="33" x14ac:dyDescent="0.2">
      <c r="A27" s="11">
        <v>14</v>
      </c>
      <c r="B27" s="102" t="s">
        <v>470</v>
      </c>
      <c r="C27" s="214" t="s">
        <v>220</v>
      </c>
      <c r="D27" s="157"/>
      <c r="E27" s="41"/>
      <c r="F27" s="148">
        <v>1</v>
      </c>
      <c r="G27" s="148">
        <v>10872.858</v>
      </c>
      <c r="H27" s="148">
        <f t="shared" si="4"/>
        <v>0</v>
      </c>
      <c r="I27" s="148"/>
      <c r="J27" s="148"/>
      <c r="K27" s="148">
        <f>500-500</f>
        <v>0</v>
      </c>
      <c r="L27" s="148">
        <f t="shared" si="5"/>
        <v>4000</v>
      </c>
      <c r="M27" s="148"/>
      <c r="N27" s="148"/>
      <c r="O27" s="148">
        <v>4000</v>
      </c>
      <c r="P27" s="148"/>
      <c r="Q27" s="148"/>
      <c r="R27" s="148"/>
      <c r="S27" s="148">
        <f t="shared" si="3"/>
        <v>4000</v>
      </c>
      <c r="T27" s="148"/>
      <c r="U27" s="38">
        <f t="shared" si="6"/>
        <v>3261.8573999999999</v>
      </c>
      <c r="V27" s="38"/>
      <c r="W27" s="168"/>
      <c r="X27" s="168"/>
      <c r="Y27" s="19"/>
    </row>
    <row r="28" spans="1:25" s="16" customFormat="1" ht="38.25" x14ac:dyDescent="0.2">
      <c r="A28" s="11">
        <v>15</v>
      </c>
      <c r="B28" s="102" t="s">
        <v>471</v>
      </c>
      <c r="C28" s="214" t="s">
        <v>221</v>
      </c>
      <c r="D28" s="157"/>
      <c r="E28" s="41"/>
      <c r="F28" s="148">
        <v>1</v>
      </c>
      <c r="G28" s="148">
        <v>14997</v>
      </c>
      <c r="H28" s="148">
        <f t="shared" si="4"/>
        <v>0</v>
      </c>
      <c r="I28" s="148"/>
      <c r="J28" s="148"/>
      <c r="K28" s="148">
        <f>500-500</f>
        <v>0</v>
      </c>
      <c r="L28" s="148">
        <f t="shared" si="5"/>
        <v>13500</v>
      </c>
      <c r="M28" s="148"/>
      <c r="N28" s="148"/>
      <c r="O28" s="148">
        <v>500</v>
      </c>
      <c r="P28" s="148">
        <v>13000</v>
      </c>
      <c r="Q28" s="148"/>
      <c r="R28" s="148"/>
      <c r="S28" s="148">
        <f t="shared" si="3"/>
        <v>13500</v>
      </c>
      <c r="T28" s="492" t="s">
        <v>447</v>
      </c>
      <c r="U28" s="38">
        <f t="shared" si="6"/>
        <v>4499.0999999999995</v>
      </c>
      <c r="V28" s="38"/>
      <c r="W28" s="168"/>
      <c r="X28" s="168"/>
      <c r="Y28" s="19"/>
    </row>
    <row r="29" spans="1:25" s="16" customFormat="1" ht="33" x14ac:dyDescent="0.2">
      <c r="A29" s="11">
        <v>16</v>
      </c>
      <c r="B29" s="103" t="s">
        <v>613</v>
      </c>
      <c r="C29" s="215" t="s">
        <v>222</v>
      </c>
      <c r="D29" s="157"/>
      <c r="E29" s="41"/>
      <c r="F29" s="148">
        <v>1</v>
      </c>
      <c r="G29" s="148">
        <v>10756</v>
      </c>
      <c r="H29" s="148">
        <f t="shared" si="4"/>
        <v>0</v>
      </c>
      <c r="I29" s="148"/>
      <c r="J29" s="148"/>
      <c r="K29" s="148"/>
      <c r="L29" s="148">
        <f t="shared" si="5"/>
        <v>3400</v>
      </c>
      <c r="M29" s="148"/>
      <c r="N29" s="148"/>
      <c r="O29" s="148">
        <v>3400</v>
      </c>
      <c r="P29" s="148"/>
      <c r="Q29" s="148"/>
      <c r="R29" s="148"/>
      <c r="S29" s="148">
        <f t="shared" si="3"/>
        <v>3400</v>
      </c>
      <c r="T29" s="148"/>
      <c r="U29" s="38">
        <f t="shared" si="6"/>
        <v>3226.7999999999997</v>
      </c>
      <c r="V29" s="38"/>
      <c r="W29" s="168"/>
      <c r="X29" s="168"/>
      <c r="Y29" s="19"/>
    </row>
    <row r="30" spans="1:25" s="16" customFormat="1" ht="33" x14ac:dyDescent="0.2">
      <c r="A30" s="11">
        <v>17</v>
      </c>
      <c r="B30" s="460" t="s">
        <v>472</v>
      </c>
      <c r="C30" s="100" t="s">
        <v>207</v>
      </c>
      <c r="D30" s="157"/>
      <c r="E30" s="41"/>
      <c r="F30" s="148">
        <v>1</v>
      </c>
      <c r="G30" s="148">
        <v>13141</v>
      </c>
      <c r="H30" s="148">
        <f t="shared" si="4"/>
        <v>2400</v>
      </c>
      <c r="I30" s="148"/>
      <c r="J30" s="148">
        <v>1000</v>
      </c>
      <c r="K30" s="148">
        <v>1400</v>
      </c>
      <c r="L30" s="148">
        <f t="shared" si="5"/>
        <v>4000</v>
      </c>
      <c r="M30" s="148"/>
      <c r="N30" s="148"/>
      <c r="O30" s="148">
        <v>4000</v>
      </c>
      <c r="P30" s="148"/>
      <c r="Q30" s="148"/>
      <c r="R30" s="148"/>
      <c r="S30" s="148">
        <f t="shared" si="3"/>
        <v>6400</v>
      </c>
      <c r="T30" s="148"/>
      <c r="U30" s="38">
        <f t="shared" si="6"/>
        <v>3942.2999999999997</v>
      </c>
      <c r="V30" s="38"/>
      <c r="W30" s="168"/>
      <c r="X30" s="168"/>
      <c r="Y30" s="19"/>
    </row>
    <row r="31" spans="1:25" s="16" customFormat="1" ht="33" x14ac:dyDescent="0.2">
      <c r="A31" s="11">
        <v>18</v>
      </c>
      <c r="B31" s="461" t="s">
        <v>473</v>
      </c>
      <c r="C31" s="213" t="s">
        <v>223</v>
      </c>
      <c r="D31" s="157"/>
      <c r="E31" s="41"/>
      <c r="F31" s="148">
        <v>1</v>
      </c>
      <c r="G31" s="148">
        <v>5405</v>
      </c>
      <c r="H31" s="148">
        <f t="shared" si="4"/>
        <v>0</v>
      </c>
      <c r="I31" s="148"/>
      <c r="J31" s="148"/>
      <c r="K31" s="148">
        <f>2000-2000</f>
        <v>0</v>
      </c>
      <c r="L31" s="148">
        <f t="shared" si="5"/>
        <v>3000</v>
      </c>
      <c r="M31" s="148"/>
      <c r="N31" s="148"/>
      <c r="O31" s="148">
        <v>3000</v>
      </c>
      <c r="P31" s="148"/>
      <c r="Q31" s="148"/>
      <c r="R31" s="148"/>
      <c r="S31" s="148">
        <f t="shared" si="3"/>
        <v>3000</v>
      </c>
      <c r="T31" s="148"/>
      <c r="U31" s="38">
        <f t="shared" si="6"/>
        <v>1621.5</v>
      </c>
      <c r="V31" s="38"/>
      <c r="W31" s="168"/>
      <c r="X31" s="168"/>
      <c r="Y31" s="19"/>
    </row>
    <row r="32" spans="1:25" s="16" customFormat="1" ht="33" x14ac:dyDescent="0.25">
      <c r="A32" s="11">
        <v>19</v>
      </c>
      <c r="B32" s="101" t="s">
        <v>474</v>
      </c>
      <c r="C32" s="214" t="s">
        <v>224</v>
      </c>
      <c r="D32" s="157"/>
      <c r="E32" s="41"/>
      <c r="F32" s="148">
        <v>1</v>
      </c>
      <c r="G32" s="148">
        <v>14973.984</v>
      </c>
      <c r="H32" s="148">
        <f t="shared" si="4"/>
        <v>0</v>
      </c>
      <c r="I32" s="148"/>
      <c r="J32" s="148"/>
      <c r="K32" s="148"/>
      <c r="L32" s="148">
        <f t="shared" si="5"/>
        <v>4500</v>
      </c>
      <c r="M32" s="148"/>
      <c r="N32" s="148"/>
      <c r="O32" s="148">
        <v>4500</v>
      </c>
      <c r="P32" s="148"/>
      <c r="Q32" s="148"/>
      <c r="R32" s="148"/>
      <c r="S32" s="148">
        <f t="shared" si="3"/>
        <v>4500</v>
      </c>
      <c r="T32" s="148"/>
      <c r="U32" s="38">
        <f t="shared" si="6"/>
        <v>4492.1952000000001</v>
      </c>
      <c r="V32" s="38"/>
      <c r="W32" s="168"/>
      <c r="X32" s="168"/>
      <c r="Y32" s="19"/>
    </row>
    <row r="33" spans="1:26" s="16" customFormat="1" ht="38.25" x14ac:dyDescent="0.2">
      <c r="A33" s="11">
        <v>20</v>
      </c>
      <c r="B33" s="460" t="s">
        <v>475</v>
      </c>
      <c r="C33" s="100" t="s">
        <v>226</v>
      </c>
      <c r="D33" s="157"/>
      <c r="E33" s="41"/>
      <c r="F33" s="148">
        <v>1</v>
      </c>
      <c r="G33" s="148">
        <v>14998.976000000001</v>
      </c>
      <c r="H33" s="148">
        <f t="shared" si="4"/>
        <v>0</v>
      </c>
      <c r="I33" s="148"/>
      <c r="J33" s="148"/>
      <c r="K33" s="148">
        <f>500-500</f>
        <v>0</v>
      </c>
      <c r="L33" s="148">
        <f t="shared" si="5"/>
        <v>13880</v>
      </c>
      <c r="M33" s="148"/>
      <c r="N33" s="148"/>
      <c r="O33" s="148">
        <v>500</v>
      </c>
      <c r="P33" s="148">
        <v>13380</v>
      </c>
      <c r="Q33" s="148"/>
      <c r="R33" s="148"/>
      <c r="S33" s="148">
        <f t="shared" si="3"/>
        <v>13880</v>
      </c>
      <c r="T33" s="492" t="s">
        <v>447</v>
      </c>
      <c r="U33" s="38">
        <f t="shared" si="6"/>
        <v>4499.6927999999998</v>
      </c>
      <c r="V33" s="38"/>
      <c r="W33" s="168"/>
      <c r="X33" s="168"/>
      <c r="Y33" s="19"/>
    </row>
    <row r="34" spans="1:26" s="16" customFormat="1" ht="33" x14ac:dyDescent="0.2">
      <c r="A34" s="11">
        <v>21</v>
      </c>
      <c r="B34" s="102" t="s">
        <v>476</v>
      </c>
      <c r="C34" s="214" t="s">
        <v>227</v>
      </c>
      <c r="D34" s="157"/>
      <c r="E34" s="41"/>
      <c r="F34" s="148">
        <v>1</v>
      </c>
      <c r="G34" s="148">
        <v>12534</v>
      </c>
      <c r="H34" s="148">
        <f t="shared" ref="H34" si="8">SUM(I34:K34)</f>
        <v>0</v>
      </c>
      <c r="I34" s="148"/>
      <c r="J34" s="148">
        <f>1000-1000</f>
        <v>0</v>
      </c>
      <c r="K34" s="148">
        <v>0</v>
      </c>
      <c r="L34" s="148">
        <f t="shared" ref="L34:L35" si="9">SUM(M34:R34)</f>
        <v>3206</v>
      </c>
      <c r="M34" s="148"/>
      <c r="N34" s="148"/>
      <c r="O34" s="148">
        <v>3206</v>
      </c>
      <c r="P34" s="148"/>
      <c r="Q34" s="148"/>
      <c r="R34" s="148"/>
      <c r="S34" s="148">
        <f t="shared" ref="S34:S35" si="10">H34+L34</f>
        <v>3206</v>
      </c>
      <c r="T34" s="148"/>
      <c r="U34" s="38">
        <f t="shared" ref="U34:U35" si="11">+G34*30%</f>
        <v>3760.2</v>
      </c>
      <c r="V34" s="38"/>
      <c r="W34" s="168"/>
      <c r="X34" s="168"/>
      <c r="Y34" s="19"/>
    </row>
    <row r="35" spans="1:26" s="16" customFormat="1" ht="87.75" customHeight="1" x14ac:dyDescent="0.2">
      <c r="A35" s="11">
        <v>22</v>
      </c>
      <c r="B35" s="493" t="s">
        <v>634</v>
      </c>
      <c r="C35" s="267" t="s">
        <v>215</v>
      </c>
      <c r="D35" s="494"/>
      <c r="E35" s="41"/>
      <c r="F35" s="148">
        <v>1</v>
      </c>
      <c r="G35" s="148">
        <v>4000</v>
      </c>
      <c r="H35" s="148"/>
      <c r="I35" s="148"/>
      <c r="J35" s="148"/>
      <c r="K35" s="148"/>
      <c r="L35" s="148">
        <f t="shared" si="9"/>
        <v>2000</v>
      </c>
      <c r="M35" s="148"/>
      <c r="N35" s="148"/>
      <c r="O35" s="148">
        <v>2000</v>
      </c>
      <c r="P35" s="148"/>
      <c r="Q35" s="148"/>
      <c r="R35" s="148"/>
      <c r="S35" s="148">
        <f t="shared" si="10"/>
        <v>2000</v>
      </c>
      <c r="T35" s="495" t="s">
        <v>482</v>
      </c>
      <c r="U35" s="38">
        <f t="shared" si="11"/>
        <v>1200</v>
      </c>
      <c r="V35" s="38"/>
      <c r="W35" s="168"/>
      <c r="X35" s="168"/>
      <c r="Y35" s="19"/>
    </row>
    <row r="36" spans="1:26" s="155" customFormat="1" ht="28.5" hidden="1" customHeight="1" x14ac:dyDescent="0.25">
      <c r="A36" s="153" t="s">
        <v>92</v>
      </c>
      <c r="B36" s="115" t="s">
        <v>96</v>
      </c>
      <c r="C36" s="115"/>
      <c r="D36" s="158"/>
      <c r="E36" s="44"/>
      <c r="F36" s="154">
        <f>+F37+F39</f>
        <v>2</v>
      </c>
      <c r="G36" s="154">
        <f>+G37+G39</f>
        <v>18000</v>
      </c>
      <c r="H36" s="154">
        <v>12000</v>
      </c>
      <c r="I36" s="154"/>
      <c r="J36" s="154"/>
      <c r="K36" s="154"/>
      <c r="L36" s="154"/>
      <c r="M36" s="154"/>
      <c r="N36" s="154"/>
      <c r="O36" s="154"/>
      <c r="P36" s="154"/>
      <c r="Q36" s="154"/>
      <c r="R36" s="154"/>
      <c r="S36" s="154"/>
      <c r="T36" s="154"/>
      <c r="U36" s="154"/>
      <c r="V36" s="154"/>
      <c r="W36" s="173"/>
      <c r="X36" s="173"/>
      <c r="Y36" s="46" t="e">
        <f>+#REF!+#REF!+#REF!+#REF!</f>
        <v>#REF!</v>
      </c>
      <c r="Z36" s="46">
        <f>+G36*70%</f>
        <v>12600</v>
      </c>
    </row>
    <row r="37" spans="1:26" s="16" customFormat="1" ht="21" hidden="1" customHeight="1" x14ac:dyDescent="0.2">
      <c r="A37" s="11" t="s">
        <v>76</v>
      </c>
      <c r="B37" s="13" t="s">
        <v>68</v>
      </c>
      <c r="C37" s="13"/>
      <c r="D37" s="158"/>
      <c r="E37" s="44"/>
      <c r="F37" s="148">
        <f>+F38</f>
        <v>0</v>
      </c>
      <c r="G37" s="148">
        <f>+G38</f>
        <v>0</v>
      </c>
      <c r="H37" s="148"/>
      <c r="I37" s="148"/>
      <c r="J37" s="148"/>
      <c r="K37" s="148"/>
      <c r="L37" s="148"/>
      <c r="M37" s="148"/>
      <c r="N37" s="148"/>
      <c r="O37" s="148"/>
      <c r="P37" s="148"/>
      <c r="Q37" s="148"/>
      <c r="R37" s="148"/>
      <c r="S37" s="148"/>
      <c r="T37" s="148"/>
      <c r="U37" s="148"/>
      <c r="V37" s="148"/>
      <c r="W37" s="169"/>
      <c r="X37" s="169"/>
      <c r="Y37" s="46" t="e">
        <f>+#REF!+#REF!+#REF!+#REF!</f>
        <v>#REF!</v>
      </c>
      <c r="Z37" s="46">
        <f>+G37*70%</f>
        <v>0</v>
      </c>
    </row>
    <row r="38" spans="1:26" s="32" customFormat="1" ht="67.5" hidden="1" customHeight="1" x14ac:dyDescent="0.25">
      <c r="A38" s="20"/>
      <c r="B38" s="21"/>
      <c r="C38" s="21"/>
      <c r="D38" s="158"/>
      <c r="E38" s="43"/>
      <c r="F38" s="122"/>
      <c r="G38" s="156"/>
      <c r="H38" s="109"/>
      <c r="I38" s="109"/>
      <c r="J38" s="109"/>
      <c r="K38" s="109"/>
      <c r="L38" s="109"/>
      <c r="M38" s="109"/>
      <c r="N38" s="109"/>
      <c r="O38" s="109"/>
      <c r="P38" s="109"/>
      <c r="Q38" s="109"/>
      <c r="R38" s="109"/>
      <c r="S38" s="109"/>
      <c r="T38" s="109"/>
      <c r="U38" s="39"/>
      <c r="V38" s="39"/>
      <c r="W38" s="107"/>
      <c r="X38" s="107"/>
      <c r="Y38" s="46"/>
      <c r="Z38" s="46"/>
    </row>
    <row r="39" spans="1:26" s="86" customFormat="1" ht="26.25" hidden="1" customHeight="1" x14ac:dyDescent="0.25">
      <c r="A39" s="29" t="s">
        <v>74</v>
      </c>
      <c r="B39" s="148" t="s">
        <v>69</v>
      </c>
      <c r="C39" s="148"/>
      <c r="D39" s="158">
        <v>0</v>
      </c>
      <c r="E39" s="44"/>
      <c r="F39" s="148">
        <f>F40+F41</f>
        <v>2</v>
      </c>
      <c r="G39" s="148">
        <f>G40+G41</f>
        <v>18000</v>
      </c>
      <c r="H39" s="148">
        <v>3600</v>
      </c>
      <c r="I39" s="148"/>
      <c r="J39" s="148"/>
      <c r="K39" s="148"/>
      <c r="L39" s="148"/>
      <c r="M39" s="148"/>
      <c r="N39" s="148"/>
      <c r="O39" s="148"/>
      <c r="P39" s="148"/>
      <c r="Q39" s="148"/>
      <c r="R39" s="148"/>
      <c r="S39" s="148"/>
      <c r="T39" s="148"/>
      <c r="U39" s="148">
        <f>+U40</f>
        <v>0</v>
      </c>
      <c r="V39" s="148"/>
      <c r="W39" s="169"/>
      <c r="X39" s="169"/>
      <c r="Y39" s="46" t="e">
        <f>+#REF!+#REF!+#REF!+#REF!</f>
        <v>#REF!</v>
      </c>
      <c r="Z39" s="46">
        <f>+G39*70%</f>
        <v>12600</v>
      </c>
    </row>
    <row r="40" spans="1:26" s="32" customFormat="1" ht="31.5" hidden="1" x14ac:dyDescent="0.25">
      <c r="A40" s="20">
        <v>1</v>
      </c>
      <c r="B40" s="276" t="s">
        <v>87</v>
      </c>
      <c r="C40" s="276"/>
      <c r="D40" s="158"/>
      <c r="E40" s="43">
        <v>2023</v>
      </c>
      <c r="F40" s="122">
        <v>1</v>
      </c>
      <c r="G40" s="156">
        <v>6000</v>
      </c>
      <c r="H40" s="109">
        <v>2000</v>
      </c>
      <c r="I40" s="109"/>
      <c r="J40" s="109"/>
      <c r="K40" s="109"/>
      <c r="L40" s="109"/>
      <c r="M40" s="109"/>
      <c r="N40" s="109"/>
      <c r="O40" s="109"/>
      <c r="P40" s="109"/>
      <c r="Q40" s="109"/>
      <c r="R40" s="109"/>
      <c r="S40" s="109"/>
      <c r="T40" s="109"/>
      <c r="U40" s="39"/>
      <c r="V40" s="39"/>
      <c r="W40" s="107"/>
      <c r="X40" s="107"/>
      <c r="Y40" s="46" t="e">
        <f>+#REF!+#REF!+#REF!+#REF!</f>
        <v>#REF!</v>
      </c>
      <c r="Z40" s="46">
        <f>+G40*70%</f>
        <v>4200</v>
      </c>
    </row>
    <row r="41" spans="1:26" s="32" customFormat="1" ht="38.25" hidden="1" customHeight="1" x14ac:dyDescent="0.25">
      <c r="A41" s="277">
        <v>2</v>
      </c>
      <c r="B41" s="276" t="s">
        <v>66</v>
      </c>
      <c r="C41" s="276"/>
      <c r="D41" s="158"/>
      <c r="E41" s="43" t="s">
        <v>88</v>
      </c>
      <c r="F41" s="122">
        <v>1</v>
      </c>
      <c r="G41" s="156">
        <v>12000</v>
      </c>
      <c r="H41" s="109">
        <v>1600</v>
      </c>
      <c r="I41" s="109"/>
      <c r="J41" s="109"/>
      <c r="K41" s="109"/>
      <c r="L41" s="109"/>
      <c r="M41" s="109"/>
      <c r="N41" s="109"/>
      <c r="O41" s="109"/>
      <c r="P41" s="109"/>
      <c r="Q41" s="109"/>
      <c r="R41" s="109"/>
      <c r="S41" s="109"/>
      <c r="T41" s="109"/>
      <c r="U41" s="39"/>
      <c r="V41" s="39"/>
      <c r="W41" s="107"/>
      <c r="X41" s="107"/>
      <c r="Y41" s="46" t="e">
        <f>+#REF!+#REF!+#REF!+#REF!</f>
        <v>#REF!</v>
      </c>
      <c r="Z41" s="46">
        <f>+G41*70%</f>
        <v>8400</v>
      </c>
    </row>
  </sheetData>
  <mergeCells count="32">
    <mergeCell ref="U5:U9"/>
    <mergeCell ref="V5:V9"/>
    <mergeCell ref="W5:W9"/>
    <mergeCell ref="X5:X9"/>
    <mergeCell ref="S5:S9"/>
    <mergeCell ref="T5:T9"/>
    <mergeCell ref="F5:F9"/>
    <mergeCell ref="G5:G9"/>
    <mergeCell ref="H5:H9"/>
    <mergeCell ref="I5:K6"/>
    <mergeCell ref="L5:R6"/>
    <mergeCell ref="N8:N9"/>
    <mergeCell ref="O8:O9"/>
    <mergeCell ref="P8:P9"/>
    <mergeCell ref="Q8:Q9"/>
    <mergeCell ref="I7:I9"/>
    <mergeCell ref="J7:J9"/>
    <mergeCell ref="K7:K9"/>
    <mergeCell ref="L7:L9"/>
    <mergeCell ref="M7:R7"/>
    <mergeCell ref="M8:M9"/>
    <mergeCell ref="R8:R9"/>
    <mergeCell ref="R1:U1"/>
    <mergeCell ref="A2:U2"/>
    <mergeCell ref="A3:U3"/>
    <mergeCell ref="A4:G4"/>
    <mergeCell ref="R4:U4"/>
    <mergeCell ref="A5:A9"/>
    <mergeCell ref="B5:B9"/>
    <mergeCell ref="C5:C9"/>
    <mergeCell ref="D5:D9"/>
    <mergeCell ref="E5:E9"/>
  </mergeCells>
  <pageMargins left="0.43307086614173229" right="0.35433070866141736" top="0.74803149606299213" bottom="0.74803149606299213" header="0.31496062992125984" footer="0.31496062992125984"/>
  <pageSetup paperSize="9" scale="72" fitToHeight="0" orientation="landscape" r:id="rId1"/>
  <headerFooter>
    <oddFooter>&amp;A&amp;RPage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6"/>
  <sheetViews>
    <sheetView workbookViewId="0">
      <pane ySplit="9" topLeftCell="A21" activePane="bottomLeft" state="frozen"/>
      <selection pane="bottomLeft" activeCell="C13" sqref="C13"/>
    </sheetView>
  </sheetViews>
  <sheetFormatPr defaultRowHeight="12.75" x14ac:dyDescent="0.2"/>
  <cols>
    <col min="1" max="1" width="5.140625" style="17" customWidth="1"/>
    <col min="2" max="2" width="30.28515625" style="17" customWidth="1"/>
    <col min="3" max="3" width="19.42578125" style="17" customWidth="1"/>
    <col min="4" max="4" width="14.28515625" style="17" hidden="1" customWidth="1"/>
    <col min="5" max="5" width="5.85546875" style="113" hidden="1" customWidth="1"/>
    <col min="6" max="6" width="5.140625" style="17" customWidth="1"/>
    <col min="7" max="7" width="12.5703125" style="17" customWidth="1"/>
    <col min="8" max="8" width="10" style="16" customWidth="1"/>
    <col min="9" max="11" width="10" style="16" hidden="1" customWidth="1"/>
    <col min="12" max="19" width="10" style="16" customWidth="1"/>
    <col min="20" max="20" width="12" style="114" customWidth="1"/>
    <col min="21" max="23" width="12.5703125" style="114" hidden="1" customWidth="1"/>
    <col min="24" max="24" width="20.140625" style="17" customWidth="1"/>
    <col min="25" max="25" width="10.42578125" style="17" bestFit="1" customWidth="1"/>
    <col min="26" max="26" width="14.140625" style="17" customWidth="1"/>
    <col min="27" max="250" width="9.140625" style="17"/>
    <col min="251" max="251" width="5.140625" style="17" customWidth="1"/>
    <col min="252" max="252" width="27.140625" style="17" customWidth="1"/>
    <col min="253" max="253" width="0" style="17" hidden="1" customWidth="1"/>
    <col min="254" max="254" width="5.85546875" style="17" customWidth="1"/>
    <col min="255" max="255" width="4.28515625" style="17" customWidth="1"/>
    <col min="256" max="256" width="12.5703125" style="17" customWidth="1"/>
    <col min="257" max="260" width="0" style="17" hidden="1" customWidth="1"/>
    <col min="261" max="261" width="10.140625" style="17" customWidth="1"/>
    <col min="262" max="262" width="11.7109375" style="17" customWidth="1"/>
    <col min="263" max="263" width="0" style="17" hidden="1" customWidth="1"/>
    <col min="264" max="264" width="8.5703125" style="17" customWidth="1"/>
    <col min="265" max="265" width="7.85546875" style="17" customWidth="1"/>
    <col min="266" max="266" width="9.5703125" style="17" customWidth="1"/>
    <col min="267" max="267" width="0" style="17" hidden="1" customWidth="1"/>
    <col min="268" max="268" width="8.140625" style="17" customWidth="1"/>
    <col min="269" max="269" width="9.5703125" style="17" customWidth="1"/>
    <col min="270" max="270" width="10.85546875" style="17" customWidth="1"/>
    <col min="271" max="277" width="10" style="17" customWidth="1"/>
    <col min="278" max="278" width="12" style="17" customWidth="1"/>
    <col min="279" max="279" width="12.5703125" style="17" customWidth="1"/>
    <col min="280" max="280" width="20.140625" style="17" customWidth="1"/>
    <col min="281" max="281" width="10.42578125" style="17" bestFit="1" customWidth="1"/>
    <col min="282" max="282" width="14.140625" style="17" customWidth="1"/>
    <col min="283" max="506" width="9.140625" style="17"/>
    <col min="507" max="507" width="5.140625" style="17" customWidth="1"/>
    <col min="508" max="508" width="27.140625" style="17" customWidth="1"/>
    <col min="509" max="509" width="0" style="17" hidden="1" customWidth="1"/>
    <col min="510" max="510" width="5.85546875" style="17" customWidth="1"/>
    <col min="511" max="511" width="4.28515625" style="17" customWidth="1"/>
    <col min="512" max="512" width="12.5703125" style="17" customWidth="1"/>
    <col min="513" max="516" width="0" style="17" hidden="1" customWidth="1"/>
    <col min="517" max="517" width="10.140625" style="17" customWidth="1"/>
    <col min="518" max="518" width="11.7109375" style="17" customWidth="1"/>
    <col min="519" max="519" width="0" style="17" hidden="1" customWidth="1"/>
    <col min="520" max="520" width="8.5703125" style="17" customWidth="1"/>
    <col min="521" max="521" width="7.85546875" style="17" customWidth="1"/>
    <col min="522" max="522" width="9.5703125" style="17" customWidth="1"/>
    <col min="523" max="523" width="0" style="17" hidden="1" customWidth="1"/>
    <col min="524" max="524" width="8.140625" style="17" customWidth="1"/>
    <col min="525" max="525" width="9.5703125" style="17" customWidth="1"/>
    <col min="526" max="526" width="10.85546875" style="17" customWidth="1"/>
    <col min="527" max="533" width="10" style="17" customWidth="1"/>
    <col min="534" max="534" width="12" style="17" customWidth="1"/>
    <col min="535" max="535" width="12.5703125" style="17" customWidth="1"/>
    <col min="536" max="536" width="20.140625" style="17" customWidth="1"/>
    <col min="537" max="537" width="10.42578125" style="17" bestFit="1" customWidth="1"/>
    <col min="538" max="538" width="14.140625" style="17" customWidth="1"/>
    <col min="539" max="762" width="9.140625" style="17"/>
    <col min="763" max="763" width="5.140625" style="17" customWidth="1"/>
    <col min="764" max="764" width="27.140625" style="17" customWidth="1"/>
    <col min="765" max="765" width="0" style="17" hidden="1" customWidth="1"/>
    <col min="766" max="766" width="5.85546875" style="17" customWidth="1"/>
    <col min="767" max="767" width="4.28515625" style="17" customWidth="1"/>
    <col min="768" max="768" width="12.5703125" style="17" customWidth="1"/>
    <col min="769" max="772" width="0" style="17" hidden="1" customWidth="1"/>
    <col min="773" max="773" width="10.140625" style="17" customWidth="1"/>
    <col min="774" max="774" width="11.7109375" style="17" customWidth="1"/>
    <col min="775" max="775" width="0" style="17" hidden="1" customWidth="1"/>
    <col min="776" max="776" width="8.5703125" style="17" customWidth="1"/>
    <col min="777" max="777" width="7.85546875" style="17" customWidth="1"/>
    <col min="778" max="778" width="9.5703125" style="17" customWidth="1"/>
    <col min="779" max="779" width="0" style="17" hidden="1" customWidth="1"/>
    <col min="780" max="780" width="8.140625" style="17" customWidth="1"/>
    <col min="781" max="781" width="9.5703125" style="17" customWidth="1"/>
    <col min="782" max="782" width="10.85546875" style="17" customWidth="1"/>
    <col min="783" max="789" width="10" style="17" customWidth="1"/>
    <col min="790" max="790" width="12" style="17" customWidth="1"/>
    <col min="791" max="791" width="12.5703125" style="17" customWidth="1"/>
    <col min="792" max="792" width="20.140625" style="17" customWidth="1"/>
    <col min="793" max="793" width="10.42578125" style="17" bestFit="1" customWidth="1"/>
    <col min="794" max="794" width="14.140625" style="17" customWidth="1"/>
    <col min="795" max="1018" width="9.140625" style="17"/>
    <col min="1019" max="1019" width="5.140625" style="17" customWidth="1"/>
    <col min="1020" max="1020" width="27.140625" style="17" customWidth="1"/>
    <col min="1021" max="1021" width="0" style="17" hidden="1" customWidth="1"/>
    <col min="1022" max="1022" width="5.85546875" style="17" customWidth="1"/>
    <col min="1023" max="1023" width="4.28515625" style="17" customWidth="1"/>
    <col min="1024" max="1024" width="12.5703125" style="17" customWidth="1"/>
    <col min="1025" max="1028" width="0" style="17" hidden="1" customWidth="1"/>
    <col min="1029" max="1029" width="10.140625" style="17" customWidth="1"/>
    <col min="1030" max="1030" width="11.7109375" style="17" customWidth="1"/>
    <col min="1031" max="1031" width="0" style="17" hidden="1" customWidth="1"/>
    <col min="1032" max="1032" width="8.5703125" style="17" customWidth="1"/>
    <col min="1033" max="1033" width="7.85546875" style="17" customWidth="1"/>
    <col min="1034" max="1034" width="9.5703125" style="17" customWidth="1"/>
    <col min="1035" max="1035" width="0" style="17" hidden="1" customWidth="1"/>
    <col min="1036" max="1036" width="8.140625" style="17" customWidth="1"/>
    <col min="1037" max="1037" width="9.5703125" style="17" customWidth="1"/>
    <col min="1038" max="1038" width="10.85546875" style="17" customWidth="1"/>
    <col min="1039" max="1045" width="10" style="17" customWidth="1"/>
    <col min="1046" max="1046" width="12" style="17" customWidth="1"/>
    <col min="1047" max="1047" width="12.5703125" style="17" customWidth="1"/>
    <col min="1048" max="1048" width="20.140625" style="17" customWidth="1"/>
    <col min="1049" max="1049" width="10.42578125" style="17" bestFit="1" customWidth="1"/>
    <col min="1050" max="1050" width="14.140625" style="17" customWidth="1"/>
    <col min="1051" max="1274" width="9.140625" style="17"/>
    <col min="1275" max="1275" width="5.140625" style="17" customWidth="1"/>
    <col min="1276" max="1276" width="27.140625" style="17" customWidth="1"/>
    <col min="1277" max="1277" width="0" style="17" hidden="1" customWidth="1"/>
    <col min="1278" max="1278" width="5.85546875" style="17" customWidth="1"/>
    <col min="1279" max="1279" width="4.28515625" style="17" customWidth="1"/>
    <col min="1280" max="1280" width="12.5703125" style="17" customWidth="1"/>
    <col min="1281" max="1284" width="0" style="17" hidden="1" customWidth="1"/>
    <col min="1285" max="1285" width="10.140625" style="17" customWidth="1"/>
    <col min="1286" max="1286" width="11.7109375" style="17" customWidth="1"/>
    <col min="1287" max="1287" width="0" style="17" hidden="1" customWidth="1"/>
    <col min="1288" max="1288" width="8.5703125" style="17" customWidth="1"/>
    <col min="1289" max="1289" width="7.85546875" style="17" customWidth="1"/>
    <col min="1290" max="1290" width="9.5703125" style="17" customWidth="1"/>
    <col min="1291" max="1291" width="0" style="17" hidden="1" customWidth="1"/>
    <col min="1292" max="1292" width="8.140625" style="17" customWidth="1"/>
    <col min="1293" max="1293" width="9.5703125" style="17" customWidth="1"/>
    <col min="1294" max="1294" width="10.85546875" style="17" customWidth="1"/>
    <col min="1295" max="1301" width="10" style="17" customWidth="1"/>
    <col min="1302" max="1302" width="12" style="17" customWidth="1"/>
    <col min="1303" max="1303" width="12.5703125" style="17" customWidth="1"/>
    <col min="1304" max="1304" width="20.140625" style="17" customWidth="1"/>
    <col min="1305" max="1305" width="10.42578125" style="17" bestFit="1" customWidth="1"/>
    <col min="1306" max="1306" width="14.140625" style="17" customWidth="1"/>
    <col min="1307" max="1530" width="9.140625" style="17"/>
    <col min="1531" max="1531" width="5.140625" style="17" customWidth="1"/>
    <col min="1532" max="1532" width="27.140625" style="17" customWidth="1"/>
    <col min="1533" max="1533" width="0" style="17" hidden="1" customWidth="1"/>
    <col min="1534" max="1534" width="5.85546875" style="17" customWidth="1"/>
    <col min="1535" max="1535" width="4.28515625" style="17" customWidth="1"/>
    <col min="1536" max="1536" width="12.5703125" style="17" customWidth="1"/>
    <col min="1537" max="1540" width="0" style="17" hidden="1" customWidth="1"/>
    <col min="1541" max="1541" width="10.140625" style="17" customWidth="1"/>
    <col min="1542" max="1542" width="11.7109375" style="17" customWidth="1"/>
    <col min="1543" max="1543" width="0" style="17" hidden="1" customWidth="1"/>
    <col min="1544" max="1544" width="8.5703125" style="17" customWidth="1"/>
    <col min="1545" max="1545" width="7.85546875" style="17" customWidth="1"/>
    <col min="1546" max="1546" width="9.5703125" style="17" customWidth="1"/>
    <col min="1547" max="1547" width="0" style="17" hidden="1" customWidth="1"/>
    <col min="1548" max="1548" width="8.140625" style="17" customWidth="1"/>
    <col min="1549" max="1549" width="9.5703125" style="17" customWidth="1"/>
    <col min="1550" max="1550" width="10.85546875" style="17" customWidth="1"/>
    <col min="1551" max="1557" width="10" style="17" customWidth="1"/>
    <col min="1558" max="1558" width="12" style="17" customWidth="1"/>
    <col min="1559" max="1559" width="12.5703125" style="17" customWidth="1"/>
    <col min="1560" max="1560" width="20.140625" style="17" customWidth="1"/>
    <col min="1561" max="1561" width="10.42578125" style="17" bestFit="1" customWidth="1"/>
    <col min="1562" max="1562" width="14.140625" style="17" customWidth="1"/>
    <col min="1563" max="1786" width="9.140625" style="17"/>
    <col min="1787" max="1787" width="5.140625" style="17" customWidth="1"/>
    <col min="1788" max="1788" width="27.140625" style="17" customWidth="1"/>
    <col min="1789" max="1789" width="0" style="17" hidden="1" customWidth="1"/>
    <col min="1790" max="1790" width="5.85546875" style="17" customWidth="1"/>
    <col min="1791" max="1791" width="4.28515625" style="17" customWidth="1"/>
    <col min="1792" max="1792" width="12.5703125" style="17" customWidth="1"/>
    <col min="1793" max="1796" width="0" style="17" hidden="1" customWidth="1"/>
    <col min="1797" max="1797" width="10.140625" style="17" customWidth="1"/>
    <col min="1798" max="1798" width="11.7109375" style="17" customWidth="1"/>
    <col min="1799" max="1799" width="0" style="17" hidden="1" customWidth="1"/>
    <col min="1800" max="1800" width="8.5703125" style="17" customWidth="1"/>
    <col min="1801" max="1801" width="7.85546875" style="17" customWidth="1"/>
    <col min="1802" max="1802" width="9.5703125" style="17" customWidth="1"/>
    <col min="1803" max="1803" width="0" style="17" hidden="1" customWidth="1"/>
    <col min="1804" max="1804" width="8.140625" style="17" customWidth="1"/>
    <col min="1805" max="1805" width="9.5703125" style="17" customWidth="1"/>
    <col min="1806" max="1806" width="10.85546875" style="17" customWidth="1"/>
    <col min="1807" max="1813" width="10" style="17" customWidth="1"/>
    <col min="1814" max="1814" width="12" style="17" customWidth="1"/>
    <col min="1815" max="1815" width="12.5703125" style="17" customWidth="1"/>
    <col min="1816" max="1816" width="20.140625" style="17" customWidth="1"/>
    <col min="1817" max="1817" width="10.42578125" style="17" bestFit="1" customWidth="1"/>
    <col min="1818" max="1818" width="14.140625" style="17" customWidth="1"/>
    <col min="1819" max="2042" width="9.140625" style="17"/>
    <col min="2043" max="2043" width="5.140625" style="17" customWidth="1"/>
    <col min="2044" max="2044" width="27.140625" style="17" customWidth="1"/>
    <col min="2045" max="2045" width="0" style="17" hidden="1" customWidth="1"/>
    <col min="2046" max="2046" width="5.85546875" style="17" customWidth="1"/>
    <col min="2047" max="2047" width="4.28515625" style="17" customWidth="1"/>
    <col min="2048" max="2048" width="12.5703125" style="17" customWidth="1"/>
    <col min="2049" max="2052" width="0" style="17" hidden="1" customWidth="1"/>
    <col min="2053" max="2053" width="10.140625" style="17" customWidth="1"/>
    <col min="2054" max="2054" width="11.7109375" style="17" customWidth="1"/>
    <col min="2055" max="2055" width="0" style="17" hidden="1" customWidth="1"/>
    <col min="2056" max="2056" width="8.5703125" style="17" customWidth="1"/>
    <col min="2057" max="2057" width="7.85546875" style="17" customWidth="1"/>
    <col min="2058" max="2058" width="9.5703125" style="17" customWidth="1"/>
    <col min="2059" max="2059" width="0" style="17" hidden="1" customWidth="1"/>
    <col min="2060" max="2060" width="8.140625" style="17" customWidth="1"/>
    <col min="2061" max="2061" width="9.5703125" style="17" customWidth="1"/>
    <col min="2062" max="2062" width="10.85546875" style="17" customWidth="1"/>
    <col min="2063" max="2069" width="10" style="17" customWidth="1"/>
    <col min="2070" max="2070" width="12" style="17" customWidth="1"/>
    <col min="2071" max="2071" width="12.5703125" style="17" customWidth="1"/>
    <col min="2072" max="2072" width="20.140625" style="17" customWidth="1"/>
    <col min="2073" max="2073" width="10.42578125" style="17" bestFit="1" customWidth="1"/>
    <col min="2074" max="2074" width="14.140625" style="17" customWidth="1"/>
    <col min="2075" max="2298" width="9.140625" style="17"/>
    <col min="2299" max="2299" width="5.140625" style="17" customWidth="1"/>
    <col min="2300" max="2300" width="27.140625" style="17" customWidth="1"/>
    <col min="2301" max="2301" width="0" style="17" hidden="1" customWidth="1"/>
    <col min="2302" max="2302" width="5.85546875" style="17" customWidth="1"/>
    <col min="2303" max="2303" width="4.28515625" style="17" customWidth="1"/>
    <col min="2304" max="2304" width="12.5703125" style="17" customWidth="1"/>
    <col min="2305" max="2308" width="0" style="17" hidden="1" customWidth="1"/>
    <col min="2309" max="2309" width="10.140625" style="17" customWidth="1"/>
    <col min="2310" max="2310" width="11.7109375" style="17" customWidth="1"/>
    <col min="2311" max="2311" width="0" style="17" hidden="1" customWidth="1"/>
    <col min="2312" max="2312" width="8.5703125" style="17" customWidth="1"/>
    <col min="2313" max="2313" width="7.85546875" style="17" customWidth="1"/>
    <col min="2314" max="2314" width="9.5703125" style="17" customWidth="1"/>
    <col min="2315" max="2315" width="0" style="17" hidden="1" customWidth="1"/>
    <col min="2316" max="2316" width="8.140625" style="17" customWidth="1"/>
    <col min="2317" max="2317" width="9.5703125" style="17" customWidth="1"/>
    <col min="2318" max="2318" width="10.85546875" style="17" customWidth="1"/>
    <col min="2319" max="2325" width="10" style="17" customWidth="1"/>
    <col min="2326" max="2326" width="12" style="17" customWidth="1"/>
    <col min="2327" max="2327" width="12.5703125" style="17" customWidth="1"/>
    <col min="2328" max="2328" width="20.140625" style="17" customWidth="1"/>
    <col min="2329" max="2329" width="10.42578125" style="17" bestFit="1" customWidth="1"/>
    <col min="2330" max="2330" width="14.140625" style="17" customWidth="1"/>
    <col min="2331" max="2554" width="9.140625" style="17"/>
    <col min="2555" max="2555" width="5.140625" style="17" customWidth="1"/>
    <col min="2556" max="2556" width="27.140625" style="17" customWidth="1"/>
    <col min="2557" max="2557" width="0" style="17" hidden="1" customWidth="1"/>
    <col min="2558" max="2558" width="5.85546875" style="17" customWidth="1"/>
    <col min="2559" max="2559" width="4.28515625" style="17" customWidth="1"/>
    <col min="2560" max="2560" width="12.5703125" style="17" customWidth="1"/>
    <col min="2561" max="2564" width="0" style="17" hidden="1" customWidth="1"/>
    <col min="2565" max="2565" width="10.140625" style="17" customWidth="1"/>
    <col min="2566" max="2566" width="11.7109375" style="17" customWidth="1"/>
    <col min="2567" max="2567" width="0" style="17" hidden="1" customWidth="1"/>
    <col min="2568" max="2568" width="8.5703125" style="17" customWidth="1"/>
    <col min="2569" max="2569" width="7.85546875" style="17" customWidth="1"/>
    <col min="2570" max="2570" width="9.5703125" style="17" customWidth="1"/>
    <col min="2571" max="2571" width="0" style="17" hidden="1" customWidth="1"/>
    <col min="2572" max="2572" width="8.140625" style="17" customWidth="1"/>
    <col min="2573" max="2573" width="9.5703125" style="17" customWidth="1"/>
    <col min="2574" max="2574" width="10.85546875" style="17" customWidth="1"/>
    <col min="2575" max="2581" width="10" style="17" customWidth="1"/>
    <col min="2582" max="2582" width="12" style="17" customWidth="1"/>
    <col min="2583" max="2583" width="12.5703125" style="17" customWidth="1"/>
    <col min="2584" max="2584" width="20.140625" style="17" customWidth="1"/>
    <col min="2585" max="2585" width="10.42578125" style="17" bestFit="1" customWidth="1"/>
    <col min="2586" max="2586" width="14.140625" style="17" customWidth="1"/>
    <col min="2587" max="2810" width="9.140625" style="17"/>
    <col min="2811" max="2811" width="5.140625" style="17" customWidth="1"/>
    <col min="2812" max="2812" width="27.140625" style="17" customWidth="1"/>
    <col min="2813" max="2813" width="0" style="17" hidden="1" customWidth="1"/>
    <col min="2814" max="2814" width="5.85546875" style="17" customWidth="1"/>
    <col min="2815" max="2815" width="4.28515625" style="17" customWidth="1"/>
    <col min="2816" max="2816" width="12.5703125" style="17" customWidth="1"/>
    <col min="2817" max="2820" width="0" style="17" hidden="1" customWidth="1"/>
    <col min="2821" max="2821" width="10.140625" style="17" customWidth="1"/>
    <col min="2822" max="2822" width="11.7109375" style="17" customWidth="1"/>
    <col min="2823" max="2823" width="0" style="17" hidden="1" customWidth="1"/>
    <col min="2824" max="2824" width="8.5703125" style="17" customWidth="1"/>
    <col min="2825" max="2825" width="7.85546875" style="17" customWidth="1"/>
    <col min="2826" max="2826" width="9.5703125" style="17" customWidth="1"/>
    <col min="2827" max="2827" width="0" style="17" hidden="1" customWidth="1"/>
    <col min="2828" max="2828" width="8.140625" style="17" customWidth="1"/>
    <col min="2829" max="2829" width="9.5703125" style="17" customWidth="1"/>
    <col min="2830" max="2830" width="10.85546875" style="17" customWidth="1"/>
    <col min="2831" max="2837" width="10" style="17" customWidth="1"/>
    <col min="2838" max="2838" width="12" style="17" customWidth="1"/>
    <col min="2839" max="2839" width="12.5703125" style="17" customWidth="1"/>
    <col min="2840" max="2840" width="20.140625" style="17" customWidth="1"/>
    <col min="2841" max="2841" width="10.42578125" style="17" bestFit="1" customWidth="1"/>
    <col min="2842" max="2842" width="14.140625" style="17" customWidth="1"/>
    <col min="2843" max="3066" width="9.140625" style="17"/>
    <col min="3067" max="3067" width="5.140625" style="17" customWidth="1"/>
    <col min="3068" max="3068" width="27.140625" style="17" customWidth="1"/>
    <col min="3069" max="3069" width="0" style="17" hidden="1" customWidth="1"/>
    <col min="3070" max="3070" width="5.85546875" style="17" customWidth="1"/>
    <col min="3071" max="3071" width="4.28515625" style="17" customWidth="1"/>
    <col min="3072" max="3072" width="12.5703125" style="17" customWidth="1"/>
    <col min="3073" max="3076" width="0" style="17" hidden="1" customWidth="1"/>
    <col min="3077" max="3077" width="10.140625" style="17" customWidth="1"/>
    <col min="3078" max="3078" width="11.7109375" style="17" customWidth="1"/>
    <col min="3079" max="3079" width="0" style="17" hidden="1" customWidth="1"/>
    <col min="3080" max="3080" width="8.5703125" style="17" customWidth="1"/>
    <col min="3081" max="3081" width="7.85546875" style="17" customWidth="1"/>
    <col min="3082" max="3082" width="9.5703125" style="17" customWidth="1"/>
    <col min="3083" max="3083" width="0" style="17" hidden="1" customWidth="1"/>
    <col min="3084" max="3084" width="8.140625" style="17" customWidth="1"/>
    <col min="3085" max="3085" width="9.5703125" style="17" customWidth="1"/>
    <col min="3086" max="3086" width="10.85546875" style="17" customWidth="1"/>
    <col min="3087" max="3093" width="10" style="17" customWidth="1"/>
    <col min="3094" max="3094" width="12" style="17" customWidth="1"/>
    <col min="3095" max="3095" width="12.5703125" style="17" customWidth="1"/>
    <col min="3096" max="3096" width="20.140625" style="17" customWidth="1"/>
    <col min="3097" max="3097" width="10.42578125" style="17" bestFit="1" customWidth="1"/>
    <col min="3098" max="3098" width="14.140625" style="17" customWidth="1"/>
    <col min="3099" max="3322" width="9.140625" style="17"/>
    <col min="3323" max="3323" width="5.140625" style="17" customWidth="1"/>
    <col min="3324" max="3324" width="27.140625" style="17" customWidth="1"/>
    <col min="3325" max="3325" width="0" style="17" hidden="1" customWidth="1"/>
    <col min="3326" max="3326" width="5.85546875" style="17" customWidth="1"/>
    <col min="3327" max="3327" width="4.28515625" style="17" customWidth="1"/>
    <col min="3328" max="3328" width="12.5703125" style="17" customWidth="1"/>
    <col min="3329" max="3332" width="0" style="17" hidden="1" customWidth="1"/>
    <col min="3333" max="3333" width="10.140625" style="17" customWidth="1"/>
    <col min="3334" max="3334" width="11.7109375" style="17" customWidth="1"/>
    <col min="3335" max="3335" width="0" style="17" hidden="1" customWidth="1"/>
    <col min="3336" max="3336" width="8.5703125" style="17" customWidth="1"/>
    <col min="3337" max="3337" width="7.85546875" style="17" customWidth="1"/>
    <col min="3338" max="3338" width="9.5703125" style="17" customWidth="1"/>
    <col min="3339" max="3339" width="0" style="17" hidden="1" customWidth="1"/>
    <col min="3340" max="3340" width="8.140625" style="17" customWidth="1"/>
    <col min="3341" max="3341" width="9.5703125" style="17" customWidth="1"/>
    <col min="3342" max="3342" width="10.85546875" style="17" customWidth="1"/>
    <col min="3343" max="3349" width="10" style="17" customWidth="1"/>
    <col min="3350" max="3350" width="12" style="17" customWidth="1"/>
    <col min="3351" max="3351" width="12.5703125" style="17" customWidth="1"/>
    <col min="3352" max="3352" width="20.140625" style="17" customWidth="1"/>
    <col min="3353" max="3353" width="10.42578125" style="17" bestFit="1" customWidth="1"/>
    <col min="3354" max="3354" width="14.140625" style="17" customWidth="1"/>
    <col min="3355" max="3578" width="9.140625" style="17"/>
    <col min="3579" max="3579" width="5.140625" style="17" customWidth="1"/>
    <col min="3580" max="3580" width="27.140625" style="17" customWidth="1"/>
    <col min="3581" max="3581" width="0" style="17" hidden="1" customWidth="1"/>
    <col min="3582" max="3582" width="5.85546875" style="17" customWidth="1"/>
    <col min="3583" max="3583" width="4.28515625" style="17" customWidth="1"/>
    <col min="3584" max="3584" width="12.5703125" style="17" customWidth="1"/>
    <col min="3585" max="3588" width="0" style="17" hidden="1" customWidth="1"/>
    <col min="3589" max="3589" width="10.140625" style="17" customWidth="1"/>
    <col min="3590" max="3590" width="11.7109375" style="17" customWidth="1"/>
    <col min="3591" max="3591" width="0" style="17" hidden="1" customWidth="1"/>
    <col min="3592" max="3592" width="8.5703125" style="17" customWidth="1"/>
    <col min="3593" max="3593" width="7.85546875" style="17" customWidth="1"/>
    <col min="3594" max="3594" width="9.5703125" style="17" customWidth="1"/>
    <col min="3595" max="3595" width="0" style="17" hidden="1" customWidth="1"/>
    <col min="3596" max="3596" width="8.140625" style="17" customWidth="1"/>
    <col min="3597" max="3597" width="9.5703125" style="17" customWidth="1"/>
    <col min="3598" max="3598" width="10.85546875" style="17" customWidth="1"/>
    <col min="3599" max="3605" width="10" style="17" customWidth="1"/>
    <col min="3606" max="3606" width="12" style="17" customWidth="1"/>
    <col min="3607" max="3607" width="12.5703125" style="17" customWidth="1"/>
    <col min="3608" max="3608" width="20.140625" style="17" customWidth="1"/>
    <col min="3609" max="3609" width="10.42578125" style="17" bestFit="1" customWidth="1"/>
    <col min="3610" max="3610" width="14.140625" style="17" customWidth="1"/>
    <col min="3611" max="3834" width="9.140625" style="17"/>
    <col min="3835" max="3835" width="5.140625" style="17" customWidth="1"/>
    <col min="3836" max="3836" width="27.140625" style="17" customWidth="1"/>
    <col min="3837" max="3837" width="0" style="17" hidden="1" customWidth="1"/>
    <col min="3838" max="3838" width="5.85546875" style="17" customWidth="1"/>
    <col min="3839" max="3839" width="4.28515625" style="17" customWidth="1"/>
    <col min="3840" max="3840" width="12.5703125" style="17" customWidth="1"/>
    <col min="3841" max="3844" width="0" style="17" hidden="1" customWidth="1"/>
    <col min="3845" max="3845" width="10.140625" style="17" customWidth="1"/>
    <col min="3846" max="3846" width="11.7109375" style="17" customWidth="1"/>
    <col min="3847" max="3847" width="0" style="17" hidden="1" customWidth="1"/>
    <col min="3848" max="3848" width="8.5703125" style="17" customWidth="1"/>
    <col min="3849" max="3849" width="7.85546875" style="17" customWidth="1"/>
    <col min="3850" max="3850" width="9.5703125" style="17" customWidth="1"/>
    <col min="3851" max="3851" width="0" style="17" hidden="1" customWidth="1"/>
    <col min="3852" max="3852" width="8.140625" style="17" customWidth="1"/>
    <col min="3853" max="3853" width="9.5703125" style="17" customWidth="1"/>
    <col min="3854" max="3854" width="10.85546875" style="17" customWidth="1"/>
    <col min="3855" max="3861" width="10" style="17" customWidth="1"/>
    <col min="3862" max="3862" width="12" style="17" customWidth="1"/>
    <col min="3863" max="3863" width="12.5703125" style="17" customWidth="1"/>
    <col min="3864" max="3864" width="20.140625" style="17" customWidth="1"/>
    <col min="3865" max="3865" width="10.42578125" style="17" bestFit="1" customWidth="1"/>
    <col min="3866" max="3866" width="14.140625" style="17" customWidth="1"/>
    <col min="3867" max="4090" width="9.140625" style="17"/>
    <col min="4091" max="4091" width="5.140625" style="17" customWidth="1"/>
    <col min="4092" max="4092" width="27.140625" style="17" customWidth="1"/>
    <col min="4093" max="4093" width="0" style="17" hidden="1" customWidth="1"/>
    <col min="4094" max="4094" width="5.85546875" style="17" customWidth="1"/>
    <col min="4095" max="4095" width="4.28515625" style="17" customWidth="1"/>
    <col min="4096" max="4096" width="12.5703125" style="17" customWidth="1"/>
    <col min="4097" max="4100" width="0" style="17" hidden="1" customWidth="1"/>
    <col min="4101" max="4101" width="10.140625" style="17" customWidth="1"/>
    <col min="4102" max="4102" width="11.7109375" style="17" customWidth="1"/>
    <col min="4103" max="4103" width="0" style="17" hidden="1" customWidth="1"/>
    <col min="4104" max="4104" width="8.5703125" style="17" customWidth="1"/>
    <col min="4105" max="4105" width="7.85546875" style="17" customWidth="1"/>
    <col min="4106" max="4106" width="9.5703125" style="17" customWidth="1"/>
    <col min="4107" max="4107" width="0" style="17" hidden="1" customWidth="1"/>
    <col min="4108" max="4108" width="8.140625" style="17" customWidth="1"/>
    <col min="4109" max="4109" width="9.5703125" style="17" customWidth="1"/>
    <col min="4110" max="4110" width="10.85546875" style="17" customWidth="1"/>
    <col min="4111" max="4117" width="10" style="17" customWidth="1"/>
    <col min="4118" max="4118" width="12" style="17" customWidth="1"/>
    <col min="4119" max="4119" width="12.5703125" style="17" customWidth="1"/>
    <col min="4120" max="4120" width="20.140625" style="17" customWidth="1"/>
    <col min="4121" max="4121" width="10.42578125" style="17" bestFit="1" customWidth="1"/>
    <col min="4122" max="4122" width="14.140625" style="17" customWidth="1"/>
    <col min="4123" max="4346" width="9.140625" style="17"/>
    <col min="4347" max="4347" width="5.140625" style="17" customWidth="1"/>
    <col min="4348" max="4348" width="27.140625" style="17" customWidth="1"/>
    <col min="4349" max="4349" width="0" style="17" hidden="1" customWidth="1"/>
    <col min="4350" max="4350" width="5.85546875" style="17" customWidth="1"/>
    <col min="4351" max="4351" width="4.28515625" style="17" customWidth="1"/>
    <col min="4352" max="4352" width="12.5703125" style="17" customWidth="1"/>
    <col min="4353" max="4356" width="0" style="17" hidden="1" customWidth="1"/>
    <col min="4357" max="4357" width="10.140625" style="17" customWidth="1"/>
    <col min="4358" max="4358" width="11.7109375" style="17" customWidth="1"/>
    <col min="4359" max="4359" width="0" style="17" hidden="1" customWidth="1"/>
    <col min="4360" max="4360" width="8.5703125" style="17" customWidth="1"/>
    <col min="4361" max="4361" width="7.85546875" style="17" customWidth="1"/>
    <col min="4362" max="4362" width="9.5703125" style="17" customWidth="1"/>
    <col min="4363" max="4363" width="0" style="17" hidden="1" customWidth="1"/>
    <col min="4364" max="4364" width="8.140625" style="17" customWidth="1"/>
    <col min="4365" max="4365" width="9.5703125" style="17" customWidth="1"/>
    <col min="4366" max="4366" width="10.85546875" style="17" customWidth="1"/>
    <col min="4367" max="4373" width="10" style="17" customWidth="1"/>
    <col min="4374" max="4374" width="12" style="17" customWidth="1"/>
    <col min="4375" max="4375" width="12.5703125" style="17" customWidth="1"/>
    <col min="4376" max="4376" width="20.140625" style="17" customWidth="1"/>
    <col min="4377" max="4377" width="10.42578125" style="17" bestFit="1" customWidth="1"/>
    <col min="4378" max="4378" width="14.140625" style="17" customWidth="1"/>
    <col min="4379" max="4602" width="9.140625" style="17"/>
    <col min="4603" max="4603" width="5.140625" style="17" customWidth="1"/>
    <col min="4604" max="4604" width="27.140625" style="17" customWidth="1"/>
    <col min="4605" max="4605" width="0" style="17" hidden="1" customWidth="1"/>
    <col min="4606" max="4606" width="5.85546875" style="17" customWidth="1"/>
    <col min="4607" max="4607" width="4.28515625" style="17" customWidth="1"/>
    <col min="4608" max="4608" width="12.5703125" style="17" customWidth="1"/>
    <col min="4609" max="4612" width="0" style="17" hidden="1" customWidth="1"/>
    <col min="4613" max="4613" width="10.140625" style="17" customWidth="1"/>
    <col min="4614" max="4614" width="11.7109375" style="17" customWidth="1"/>
    <col min="4615" max="4615" width="0" style="17" hidden="1" customWidth="1"/>
    <col min="4616" max="4616" width="8.5703125" style="17" customWidth="1"/>
    <col min="4617" max="4617" width="7.85546875" style="17" customWidth="1"/>
    <col min="4618" max="4618" width="9.5703125" style="17" customWidth="1"/>
    <col min="4619" max="4619" width="0" style="17" hidden="1" customWidth="1"/>
    <col min="4620" max="4620" width="8.140625" style="17" customWidth="1"/>
    <col min="4621" max="4621" width="9.5703125" style="17" customWidth="1"/>
    <col min="4622" max="4622" width="10.85546875" style="17" customWidth="1"/>
    <col min="4623" max="4629" width="10" style="17" customWidth="1"/>
    <col min="4630" max="4630" width="12" style="17" customWidth="1"/>
    <col min="4631" max="4631" width="12.5703125" style="17" customWidth="1"/>
    <col min="4632" max="4632" width="20.140625" style="17" customWidth="1"/>
    <col min="4633" max="4633" width="10.42578125" style="17" bestFit="1" customWidth="1"/>
    <col min="4634" max="4634" width="14.140625" style="17" customWidth="1"/>
    <col min="4635" max="4858" width="9.140625" style="17"/>
    <col min="4859" max="4859" width="5.140625" style="17" customWidth="1"/>
    <col min="4860" max="4860" width="27.140625" style="17" customWidth="1"/>
    <col min="4861" max="4861" width="0" style="17" hidden="1" customWidth="1"/>
    <col min="4862" max="4862" width="5.85546875" style="17" customWidth="1"/>
    <col min="4863" max="4863" width="4.28515625" style="17" customWidth="1"/>
    <col min="4864" max="4864" width="12.5703125" style="17" customWidth="1"/>
    <col min="4865" max="4868" width="0" style="17" hidden="1" customWidth="1"/>
    <col min="4869" max="4869" width="10.140625" style="17" customWidth="1"/>
    <col min="4870" max="4870" width="11.7109375" style="17" customWidth="1"/>
    <col min="4871" max="4871" width="0" style="17" hidden="1" customWidth="1"/>
    <col min="4872" max="4872" width="8.5703125" style="17" customWidth="1"/>
    <col min="4873" max="4873" width="7.85546875" style="17" customWidth="1"/>
    <col min="4874" max="4874" width="9.5703125" style="17" customWidth="1"/>
    <col min="4875" max="4875" width="0" style="17" hidden="1" customWidth="1"/>
    <col min="4876" max="4876" width="8.140625" style="17" customWidth="1"/>
    <col min="4877" max="4877" width="9.5703125" style="17" customWidth="1"/>
    <col min="4878" max="4878" width="10.85546875" style="17" customWidth="1"/>
    <col min="4879" max="4885" width="10" style="17" customWidth="1"/>
    <col min="4886" max="4886" width="12" style="17" customWidth="1"/>
    <col min="4887" max="4887" width="12.5703125" style="17" customWidth="1"/>
    <col min="4888" max="4888" width="20.140625" style="17" customWidth="1"/>
    <col min="4889" max="4889" width="10.42578125" style="17" bestFit="1" customWidth="1"/>
    <col min="4890" max="4890" width="14.140625" style="17" customWidth="1"/>
    <col min="4891" max="5114" width="9.140625" style="17"/>
    <col min="5115" max="5115" width="5.140625" style="17" customWidth="1"/>
    <col min="5116" max="5116" width="27.140625" style="17" customWidth="1"/>
    <col min="5117" max="5117" width="0" style="17" hidden="1" customWidth="1"/>
    <col min="5118" max="5118" width="5.85546875" style="17" customWidth="1"/>
    <col min="5119" max="5119" width="4.28515625" style="17" customWidth="1"/>
    <col min="5120" max="5120" width="12.5703125" style="17" customWidth="1"/>
    <col min="5121" max="5124" width="0" style="17" hidden="1" customWidth="1"/>
    <col min="5125" max="5125" width="10.140625" style="17" customWidth="1"/>
    <col min="5126" max="5126" width="11.7109375" style="17" customWidth="1"/>
    <col min="5127" max="5127" width="0" style="17" hidden="1" customWidth="1"/>
    <col min="5128" max="5128" width="8.5703125" style="17" customWidth="1"/>
    <col min="5129" max="5129" width="7.85546875" style="17" customWidth="1"/>
    <col min="5130" max="5130" width="9.5703125" style="17" customWidth="1"/>
    <col min="5131" max="5131" width="0" style="17" hidden="1" customWidth="1"/>
    <col min="5132" max="5132" width="8.140625" style="17" customWidth="1"/>
    <col min="5133" max="5133" width="9.5703125" style="17" customWidth="1"/>
    <col min="5134" max="5134" width="10.85546875" style="17" customWidth="1"/>
    <col min="5135" max="5141" width="10" style="17" customWidth="1"/>
    <col min="5142" max="5142" width="12" style="17" customWidth="1"/>
    <col min="5143" max="5143" width="12.5703125" style="17" customWidth="1"/>
    <col min="5144" max="5144" width="20.140625" style="17" customWidth="1"/>
    <col min="5145" max="5145" width="10.42578125" style="17" bestFit="1" customWidth="1"/>
    <col min="5146" max="5146" width="14.140625" style="17" customWidth="1"/>
    <col min="5147" max="5370" width="9.140625" style="17"/>
    <col min="5371" max="5371" width="5.140625" style="17" customWidth="1"/>
    <col min="5372" max="5372" width="27.140625" style="17" customWidth="1"/>
    <col min="5373" max="5373" width="0" style="17" hidden="1" customWidth="1"/>
    <col min="5374" max="5374" width="5.85546875" style="17" customWidth="1"/>
    <col min="5375" max="5375" width="4.28515625" style="17" customWidth="1"/>
    <col min="5376" max="5376" width="12.5703125" style="17" customWidth="1"/>
    <col min="5377" max="5380" width="0" style="17" hidden="1" customWidth="1"/>
    <col min="5381" max="5381" width="10.140625" style="17" customWidth="1"/>
    <col min="5382" max="5382" width="11.7109375" style="17" customWidth="1"/>
    <col min="5383" max="5383" width="0" style="17" hidden="1" customWidth="1"/>
    <col min="5384" max="5384" width="8.5703125" style="17" customWidth="1"/>
    <col min="5385" max="5385" width="7.85546875" style="17" customWidth="1"/>
    <col min="5386" max="5386" width="9.5703125" style="17" customWidth="1"/>
    <col min="5387" max="5387" width="0" style="17" hidden="1" customWidth="1"/>
    <col min="5388" max="5388" width="8.140625" style="17" customWidth="1"/>
    <col min="5389" max="5389" width="9.5703125" style="17" customWidth="1"/>
    <col min="5390" max="5390" width="10.85546875" style="17" customWidth="1"/>
    <col min="5391" max="5397" width="10" style="17" customWidth="1"/>
    <col min="5398" max="5398" width="12" style="17" customWidth="1"/>
    <col min="5399" max="5399" width="12.5703125" style="17" customWidth="1"/>
    <col min="5400" max="5400" width="20.140625" style="17" customWidth="1"/>
    <col min="5401" max="5401" width="10.42578125" style="17" bestFit="1" customWidth="1"/>
    <col min="5402" max="5402" width="14.140625" style="17" customWidth="1"/>
    <col min="5403" max="5626" width="9.140625" style="17"/>
    <col min="5627" max="5627" width="5.140625" style="17" customWidth="1"/>
    <col min="5628" max="5628" width="27.140625" style="17" customWidth="1"/>
    <col min="5629" max="5629" width="0" style="17" hidden="1" customWidth="1"/>
    <col min="5630" max="5630" width="5.85546875" style="17" customWidth="1"/>
    <col min="5631" max="5631" width="4.28515625" style="17" customWidth="1"/>
    <col min="5632" max="5632" width="12.5703125" style="17" customWidth="1"/>
    <col min="5633" max="5636" width="0" style="17" hidden="1" customWidth="1"/>
    <col min="5637" max="5637" width="10.140625" style="17" customWidth="1"/>
    <col min="5638" max="5638" width="11.7109375" style="17" customWidth="1"/>
    <col min="5639" max="5639" width="0" style="17" hidden="1" customWidth="1"/>
    <col min="5640" max="5640" width="8.5703125" style="17" customWidth="1"/>
    <col min="5641" max="5641" width="7.85546875" style="17" customWidth="1"/>
    <col min="5642" max="5642" width="9.5703125" style="17" customWidth="1"/>
    <col min="5643" max="5643" width="0" style="17" hidden="1" customWidth="1"/>
    <col min="5644" max="5644" width="8.140625" style="17" customWidth="1"/>
    <col min="5645" max="5645" width="9.5703125" style="17" customWidth="1"/>
    <col min="5646" max="5646" width="10.85546875" style="17" customWidth="1"/>
    <col min="5647" max="5653" width="10" style="17" customWidth="1"/>
    <col min="5654" max="5654" width="12" style="17" customWidth="1"/>
    <col min="5655" max="5655" width="12.5703125" style="17" customWidth="1"/>
    <col min="5656" max="5656" width="20.140625" style="17" customWidth="1"/>
    <col min="5657" max="5657" width="10.42578125" style="17" bestFit="1" customWidth="1"/>
    <col min="5658" max="5658" width="14.140625" style="17" customWidth="1"/>
    <col min="5659" max="5882" width="9.140625" style="17"/>
    <col min="5883" max="5883" width="5.140625" style="17" customWidth="1"/>
    <col min="5884" max="5884" width="27.140625" style="17" customWidth="1"/>
    <col min="5885" max="5885" width="0" style="17" hidden="1" customWidth="1"/>
    <col min="5886" max="5886" width="5.85546875" style="17" customWidth="1"/>
    <col min="5887" max="5887" width="4.28515625" style="17" customWidth="1"/>
    <col min="5888" max="5888" width="12.5703125" style="17" customWidth="1"/>
    <col min="5889" max="5892" width="0" style="17" hidden="1" customWidth="1"/>
    <col min="5893" max="5893" width="10.140625" style="17" customWidth="1"/>
    <col min="5894" max="5894" width="11.7109375" style="17" customWidth="1"/>
    <col min="5895" max="5895" width="0" style="17" hidden="1" customWidth="1"/>
    <col min="5896" max="5896" width="8.5703125" style="17" customWidth="1"/>
    <col min="5897" max="5897" width="7.85546875" style="17" customWidth="1"/>
    <col min="5898" max="5898" width="9.5703125" style="17" customWidth="1"/>
    <col min="5899" max="5899" width="0" style="17" hidden="1" customWidth="1"/>
    <col min="5900" max="5900" width="8.140625" style="17" customWidth="1"/>
    <col min="5901" max="5901" width="9.5703125" style="17" customWidth="1"/>
    <col min="5902" max="5902" width="10.85546875" style="17" customWidth="1"/>
    <col min="5903" max="5909" width="10" style="17" customWidth="1"/>
    <col min="5910" max="5910" width="12" style="17" customWidth="1"/>
    <col min="5911" max="5911" width="12.5703125" style="17" customWidth="1"/>
    <col min="5912" max="5912" width="20.140625" style="17" customWidth="1"/>
    <col min="5913" max="5913" width="10.42578125" style="17" bestFit="1" customWidth="1"/>
    <col min="5914" max="5914" width="14.140625" style="17" customWidth="1"/>
    <col min="5915" max="6138" width="9.140625" style="17"/>
    <col min="6139" max="6139" width="5.140625" style="17" customWidth="1"/>
    <col min="6140" max="6140" width="27.140625" style="17" customWidth="1"/>
    <col min="6141" max="6141" width="0" style="17" hidden="1" customWidth="1"/>
    <col min="6142" max="6142" width="5.85546875" style="17" customWidth="1"/>
    <col min="6143" max="6143" width="4.28515625" style="17" customWidth="1"/>
    <col min="6144" max="6144" width="12.5703125" style="17" customWidth="1"/>
    <col min="6145" max="6148" width="0" style="17" hidden="1" customWidth="1"/>
    <col min="6149" max="6149" width="10.140625" style="17" customWidth="1"/>
    <col min="6150" max="6150" width="11.7109375" style="17" customWidth="1"/>
    <col min="6151" max="6151" width="0" style="17" hidden="1" customWidth="1"/>
    <col min="6152" max="6152" width="8.5703125" style="17" customWidth="1"/>
    <col min="6153" max="6153" width="7.85546875" style="17" customWidth="1"/>
    <col min="6154" max="6154" width="9.5703125" style="17" customWidth="1"/>
    <col min="6155" max="6155" width="0" style="17" hidden="1" customWidth="1"/>
    <col min="6156" max="6156" width="8.140625" style="17" customWidth="1"/>
    <col min="6157" max="6157" width="9.5703125" style="17" customWidth="1"/>
    <col min="6158" max="6158" width="10.85546875" style="17" customWidth="1"/>
    <col min="6159" max="6165" width="10" style="17" customWidth="1"/>
    <col min="6166" max="6166" width="12" style="17" customWidth="1"/>
    <col min="6167" max="6167" width="12.5703125" style="17" customWidth="1"/>
    <col min="6168" max="6168" width="20.140625" style="17" customWidth="1"/>
    <col min="6169" max="6169" width="10.42578125" style="17" bestFit="1" customWidth="1"/>
    <col min="6170" max="6170" width="14.140625" style="17" customWidth="1"/>
    <col min="6171" max="6394" width="9.140625" style="17"/>
    <col min="6395" max="6395" width="5.140625" style="17" customWidth="1"/>
    <col min="6396" max="6396" width="27.140625" style="17" customWidth="1"/>
    <col min="6397" max="6397" width="0" style="17" hidden="1" customWidth="1"/>
    <col min="6398" max="6398" width="5.85546875" style="17" customWidth="1"/>
    <col min="6399" max="6399" width="4.28515625" style="17" customWidth="1"/>
    <col min="6400" max="6400" width="12.5703125" style="17" customWidth="1"/>
    <col min="6401" max="6404" width="0" style="17" hidden="1" customWidth="1"/>
    <col min="6405" max="6405" width="10.140625" style="17" customWidth="1"/>
    <col min="6406" max="6406" width="11.7109375" style="17" customWidth="1"/>
    <col min="6407" max="6407" width="0" style="17" hidden="1" customWidth="1"/>
    <col min="6408" max="6408" width="8.5703125" style="17" customWidth="1"/>
    <col min="6409" max="6409" width="7.85546875" style="17" customWidth="1"/>
    <col min="6410" max="6410" width="9.5703125" style="17" customWidth="1"/>
    <col min="6411" max="6411" width="0" style="17" hidden="1" customWidth="1"/>
    <col min="6412" max="6412" width="8.140625" style="17" customWidth="1"/>
    <col min="6413" max="6413" width="9.5703125" style="17" customWidth="1"/>
    <col min="6414" max="6414" width="10.85546875" style="17" customWidth="1"/>
    <col min="6415" max="6421" width="10" style="17" customWidth="1"/>
    <col min="6422" max="6422" width="12" style="17" customWidth="1"/>
    <col min="6423" max="6423" width="12.5703125" style="17" customWidth="1"/>
    <col min="6424" max="6424" width="20.140625" style="17" customWidth="1"/>
    <col min="6425" max="6425" width="10.42578125" style="17" bestFit="1" customWidth="1"/>
    <col min="6426" max="6426" width="14.140625" style="17" customWidth="1"/>
    <col min="6427" max="6650" width="9.140625" style="17"/>
    <col min="6651" max="6651" width="5.140625" style="17" customWidth="1"/>
    <col min="6652" max="6652" width="27.140625" style="17" customWidth="1"/>
    <col min="6653" max="6653" width="0" style="17" hidden="1" customWidth="1"/>
    <col min="6654" max="6654" width="5.85546875" style="17" customWidth="1"/>
    <col min="6655" max="6655" width="4.28515625" style="17" customWidth="1"/>
    <col min="6656" max="6656" width="12.5703125" style="17" customWidth="1"/>
    <col min="6657" max="6660" width="0" style="17" hidden="1" customWidth="1"/>
    <col min="6661" max="6661" width="10.140625" style="17" customWidth="1"/>
    <col min="6662" max="6662" width="11.7109375" style="17" customWidth="1"/>
    <col min="6663" max="6663" width="0" style="17" hidden="1" customWidth="1"/>
    <col min="6664" max="6664" width="8.5703125" style="17" customWidth="1"/>
    <col min="6665" max="6665" width="7.85546875" style="17" customWidth="1"/>
    <col min="6666" max="6666" width="9.5703125" style="17" customWidth="1"/>
    <col min="6667" max="6667" width="0" style="17" hidden="1" customWidth="1"/>
    <col min="6668" max="6668" width="8.140625" style="17" customWidth="1"/>
    <col min="6669" max="6669" width="9.5703125" style="17" customWidth="1"/>
    <col min="6670" max="6670" width="10.85546875" style="17" customWidth="1"/>
    <col min="6671" max="6677" width="10" style="17" customWidth="1"/>
    <col min="6678" max="6678" width="12" style="17" customWidth="1"/>
    <col min="6679" max="6679" width="12.5703125" style="17" customWidth="1"/>
    <col min="6680" max="6680" width="20.140625" style="17" customWidth="1"/>
    <col min="6681" max="6681" width="10.42578125" style="17" bestFit="1" customWidth="1"/>
    <col min="6682" max="6682" width="14.140625" style="17" customWidth="1"/>
    <col min="6683" max="6906" width="9.140625" style="17"/>
    <col min="6907" max="6907" width="5.140625" style="17" customWidth="1"/>
    <col min="6908" max="6908" width="27.140625" style="17" customWidth="1"/>
    <col min="6909" max="6909" width="0" style="17" hidden="1" customWidth="1"/>
    <col min="6910" max="6910" width="5.85546875" style="17" customWidth="1"/>
    <col min="6911" max="6911" width="4.28515625" style="17" customWidth="1"/>
    <col min="6912" max="6912" width="12.5703125" style="17" customWidth="1"/>
    <col min="6913" max="6916" width="0" style="17" hidden="1" customWidth="1"/>
    <col min="6917" max="6917" width="10.140625" style="17" customWidth="1"/>
    <col min="6918" max="6918" width="11.7109375" style="17" customWidth="1"/>
    <col min="6919" max="6919" width="0" style="17" hidden="1" customWidth="1"/>
    <col min="6920" max="6920" width="8.5703125" style="17" customWidth="1"/>
    <col min="6921" max="6921" width="7.85546875" style="17" customWidth="1"/>
    <col min="6922" max="6922" width="9.5703125" style="17" customWidth="1"/>
    <col min="6923" max="6923" width="0" style="17" hidden="1" customWidth="1"/>
    <col min="6924" max="6924" width="8.140625" style="17" customWidth="1"/>
    <col min="6925" max="6925" width="9.5703125" style="17" customWidth="1"/>
    <col min="6926" max="6926" width="10.85546875" style="17" customWidth="1"/>
    <col min="6927" max="6933" width="10" style="17" customWidth="1"/>
    <col min="6934" max="6934" width="12" style="17" customWidth="1"/>
    <col min="6935" max="6935" width="12.5703125" style="17" customWidth="1"/>
    <col min="6936" max="6936" width="20.140625" style="17" customWidth="1"/>
    <col min="6937" max="6937" width="10.42578125" style="17" bestFit="1" customWidth="1"/>
    <col min="6938" max="6938" width="14.140625" style="17" customWidth="1"/>
    <col min="6939" max="7162" width="9.140625" style="17"/>
    <col min="7163" max="7163" width="5.140625" style="17" customWidth="1"/>
    <col min="7164" max="7164" width="27.140625" style="17" customWidth="1"/>
    <col min="7165" max="7165" width="0" style="17" hidden="1" customWidth="1"/>
    <col min="7166" max="7166" width="5.85546875" style="17" customWidth="1"/>
    <col min="7167" max="7167" width="4.28515625" style="17" customWidth="1"/>
    <col min="7168" max="7168" width="12.5703125" style="17" customWidth="1"/>
    <col min="7169" max="7172" width="0" style="17" hidden="1" customWidth="1"/>
    <col min="7173" max="7173" width="10.140625" style="17" customWidth="1"/>
    <col min="7174" max="7174" width="11.7109375" style="17" customWidth="1"/>
    <col min="7175" max="7175" width="0" style="17" hidden="1" customWidth="1"/>
    <col min="7176" max="7176" width="8.5703125" style="17" customWidth="1"/>
    <col min="7177" max="7177" width="7.85546875" style="17" customWidth="1"/>
    <col min="7178" max="7178" width="9.5703125" style="17" customWidth="1"/>
    <col min="7179" max="7179" width="0" style="17" hidden="1" customWidth="1"/>
    <col min="7180" max="7180" width="8.140625" style="17" customWidth="1"/>
    <col min="7181" max="7181" width="9.5703125" style="17" customWidth="1"/>
    <col min="7182" max="7182" width="10.85546875" style="17" customWidth="1"/>
    <col min="7183" max="7189" width="10" style="17" customWidth="1"/>
    <col min="7190" max="7190" width="12" style="17" customWidth="1"/>
    <col min="7191" max="7191" width="12.5703125" style="17" customWidth="1"/>
    <col min="7192" max="7192" width="20.140625" style="17" customWidth="1"/>
    <col min="7193" max="7193" width="10.42578125" style="17" bestFit="1" customWidth="1"/>
    <col min="7194" max="7194" width="14.140625" style="17" customWidth="1"/>
    <col min="7195" max="7418" width="9.140625" style="17"/>
    <col min="7419" max="7419" width="5.140625" style="17" customWidth="1"/>
    <col min="7420" max="7420" width="27.140625" style="17" customWidth="1"/>
    <col min="7421" max="7421" width="0" style="17" hidden="1" customWidth="1"/>
    <col min="7422" max="7422" width="5.85546875" style="17" customWidth="1"/>
    <col min="7423" max="7423" width="4.28515625" style="17" customWidth="1"/>
    <col min="7424" max="7424" width="12.5703125" style="17" customWidth="1"/>
    <col min="7425" max="7428" width="0" style="17" hidden="1" customWidth="1"/>
    <col min="7429" max="7429" width="10.140625" style="17" customWidth="1"/>
    <col min="7430" max="7430" width="11.7109375" style="17" customWidth="1"/>
    <col min="7431" max="7431" width="0" style="17" hidden="1" customWidth="1"/>
    <col min="7432" max="7432" width="8.5703125" style="17" customWidth="1"/>
    <col min="7433" max="7433" width="7.85546875" style="17" customWidth="1"/>
    <col min="7434" max="7434" width="9.5703125" style="17" customWidth="1"/>
    <col min="7435" max="7435" width="0" style="17" hidden="1" customWidth="1"/>
    <col min="7436" max="7436" width="8.140625" style="17" customWidth="1"/>
    <col min="7437" max="7437" width="9.5703125" style="17" customWidth="1"/>
    <col min="7438" max="7438" width="10.85546875" style="17" customWidth="1"/>
    <col min="7439" max="7445" width="10" style="17" customWidth="1"/>
    <col min="7446" max="7446" width="12" style="17" customWidth="1"/>
    <col min="7447" max="7447" width="12.5703125" style="17" customWidth="1"/>
    <col min="7448" max="7448" width="20.140625" style="17" customWidth="1"/>
    <col min="7449" max="7449" width="10.42578125" style="17" bestFit="1" customWidth="1"/>
    <col min="7450" max="7450" width="14.140625" style="17" customWidth="1"/>
    <col min="7451" max="7674" width="9.140625" style="17"/>
    <col min="7675" max="7675" width="5.140625" style="17" customWidth="1"/>
    <col min="7676" max="7676" width="27.140625" style="17" customWidth="1"/>
    <col min="7677" max="7677" width="0" style="17" hidden="1" customWidth="1"/>
    <col min="7678" max="7678" width="5.85546875" style="17" customWidth="1"/>
    <col min="7679" max="7679" width="4.28515625" style="17" customWidth="1"/>
    <col min="7680" max="7680" width="12.5703125" style="17" customWidth="1"/>
    <col min="7681" max="7684" width="0" style="17" hidden="1" customWidth="1"/>
    <col min="7685" max="7685" width="10.140625" style="17" customWidth="1"/>
    <col min="7686" max="7686" width="11.7109375" style="17" customWidth="1"/>
    <col min="7687" max="7687" width="0" style="17" hidden="1" customWidth="1"/>
    <col min="7688" max="7688" width="8.5703125" style="17" customWidth="1"/>
    <col min="7689" max="7689" width="7.85546875" style="17" customWidth="1"/>
    <col min="7690" max="7690" width="9.5703125" style="17" customWidth="1"/>
    <col min="7691" max="7691" width="0" style="17" hidden="1" customWidth="1"/>
    <col min="7692" max="7692" width="8.140625" style="17" customWidth="1"/>
    <col min="7693" max="7693" width="9.5703125" style="17" customWidth="1"/>
    <col min="7694" max="7694" width="10.85546875" style="17" customWidth="1"/>
    <col min="7695" max="7701" width="10" style="17" customWidth="1"/>
    <col min="7702" max="7702" width="12" style="17" customWidth="1"/>
    <col min="7703" max="7703" width="12.5703125" style="17" customWidth="1"/>
    <col min="7704" max="7704" width="20.140625" style="17" customWidth="1"/>
    <col min="7705" max="7705" width="10.42578125" style="17" bestFit="1" customWidth="1"/>
    <col min="7706" max="7706" width="14.140625" style="17" customWidth="1"/>
    <col min="7707" max="7930" width="9.140625" style="17"/>
    <col min="7931" max="7931" width="5.140625" style="17" customWidth="1"/>
    <col min="7932" max="7932" width="27.140625" style="17" customWidth="1"/>
    <col min="7933" max="7933" width="0" style="17" hidden="1" customWidth="1"/>
    <col min="7934" max="7934" width="5.85546875" style="17" customWidth="1"/>
    <col min="7935" max="7935" width="4.28515625" style="17" customWidth="1"/>
    <col min="7936" max="7936" width="12.5703125" style="17" customWidth="1"/>
    <col min="7937" max="7940" width="0" style="17" hidden="1" customWidth="1"/>
    <col min="7941" max="7941" width="10.140625" style="17" customWidth="1"/>
    <col min="7942" max="7942" width="11.7109375" style="17" customWidth="1"/>
    <col min="7943" max="7943" width="0" style="17" hidden="1" customWidth="1"/>
    <col min="7944" max="7944" width="8.5703125" style="17" customWidth="1"/>
    <col min="7945" max="7945" width="7.85546875" style="17" customWidth="1"/>
    <col min="7946" max="7946" width="9.5703125" style="17" customWidth="1"/>
    <col min="7947" max="7947" width="0" style="17" hidden="1" customWidth="1"/>
    <col min="7948" max="7948" width="8.140625" style="17" customWidth="1"/>
    <col min="7949" max="7949" width="9.5703125" style="17" customWidth="1"/>
    <col min="7950" max="7950" width="10.85546875" style="17" customWidth="1"/>
    <col min="7951" max="7957" width="10" style="17" customWidth="1"/>
    <col min="7958" max="7958" width="12" style="17" customWidth="1"/>
    <col min="7959" max="7959" width="12.5703125" style="17" customWidth="1"/>
    <col min="7960" max="7960" width="20.140625" style="17" customWidth="1"/>
    <col min="7961" max="7961" width="10.42578125" style="17" bestFit="1" customWidth="1"/>
    <col min="7962" max="7962" width="14.140625" style="17" customWidth="1"/>
    <col min="7963" max="8186" width="9.140625" style="17"/>
    <col min="8187" max="8187" width="5.140625" style="17" customWidth="1"/>
    <col min="8188" max="8188" width="27.140625" style="17" customWidth="1"/>
    <col min="8189" max="8189" width="0" style="17" hidden="1" customWidth="1"/>
    <col min="8190" max="8190" width="5.85546875" style="17" customWidth="1"/>
    <col min="8191" max="8191" width="4.28515625" style="17" customWidth="1"/>
    <col min="8192" max="8192" width="12.5703125" style="17" customWidth="1"/>
    <col min="8193" max="8196" width="0" style="17" hidden="1" customWidth="1"/>
    <col min="8197" max="8197" width="10.140625" style="17" customWidth="1"/>
    <col min="8198" max="8198" width="11.7109375" style="17" customWidth="1"/>
    <col min="8199" max="8199" width="0" style="17" hidden="1" customWidth="1"/>
    <col min="8200" max="8200" width="8.5703125" style="17" customWidth="1"/>
    <col min="8201" max="8201" width="7.85546875" style="17" customWidth="1"/>
    <col min="8202" max="8202" width="9.5703125" style="17" customWidth="1"/>
    <col min="8203" max="8203" width="0" style="17" hidden="1" customWidth="1"/>
    <col min="8204" max="8204" width="8.140625" style="17" customWidth="1"/>
    <col min="8205" max="8205" width="9.5703125" style="17" customWidth="1"/>
    <col min="8206" max="8206" width="10.85546875" style="17" customWidth="1"/>
    <col min="8207" max="8213" width="10" style="17" customWidth="1"/>
    <col min="8214" max="8214" width="12" style="17" customWidth="1"/>
    <col min="8215" max="8215" width="12.5703125" style="17" customWidth="1"/>
    <col min="8216" max="8216" width="20.140625" style="17" customWidth="1"/>
    <col min="8217" max="8217" width="10.42578125" style="17" bestFit="1" customWidth="1"/>
    <col min="8218" max="8218" width="14.140625" style="17" customWidth="1"/>
    <col min="8219" max="8442" width="9.140625" style="17"/>
    <col min="8443" max="8443" width="5.140625" style="17" customWidth="1"/>
    <col min="8444" max="8444" width="27.140625" style="17" customWidth="1"/>
    <col min="8445" max="8445" width="0" style="17" hidden="1" customWidth="1"/>
    <col min="8446" max="8446" width="5.85546875" style="17" customWidth="1"/>
    <col min="8447" max="8447" width="4.28515625" style="17" customWidth="1"/>
    <col min="8448" max="8448" width="12.5703125" style="17" customWidth="1"/>
    <col min="8449" max="8452" width="0" style="17" hidden="1" customWidth="1"/>
    <col min="8453" max="8453" width="10.140625" style="17" customWidth="1"/>
    <col min="8454" max="8454" width="11.7109375" style="17" customWidth="1"/>
    <col min="8455" max="8455" width="0" style="17" hidden="1" customWidth="1"/>
    <col min="8456" max="8456" width="8.5703125" style="17" customWidth="1"/>
    <col min="8457" max="8457" width="7.85546875" style="17" customWidth="1"/>
    <col min="8458" max="8458" width="9.5703125" style="17" customWidth="1"/>
    <col min="8459" max="8459" width="0" style="17" hidden="1" customWidth="1"/>
    <col min="8460" max="8460" width="8.140625" style="17" customWidth="1"/>
    <col min="8461" max="8461" width="9.5703125" style="17" customWidth="1"/>
    <col min="8462" max="8462" width="10.85546875" style="17" customWidth="1"/>
    <col min="8463" max="8469" width="10" style="17" customWidth="1"/>
    <col min="8470" max="8470" width="12" style="17" customWidth="1"/>
    <col min="8471" max="8471" width="12.5703125" style="17" customWidth="1"/>
    <col min="8472" max="8472" width="20.140625" style="17" customWidth="1"/>
    <col min="8473" max="8473" width="10.42578125" style="17" bestFit="1" customWidth="1"/>
    <col min="8474" max="8474" width="14.140625" style="17" customWidth="1"/>
    <col min="8475" max="8698" width="9.140625" style="17"/>
    <col min="8699" max="8699" width="5.140625" style="17" customWidth="1"/>
    <col min="8700" max="8700" width="27.140625" style="17" customWidth="1"/>
    <col min="8701" max="8701" width="0" style="17" hidden="1" customWidth="1"/>
    <col min="8702" max="8702" width="5.85546875" style="17" customWidth="1"/>
    <col min="8703" max="8703" width="4.28515625" style="17" customWidth="1"/>
    <col min="8704" max="8704" width="12.5703125" style="17" customWidth="1"/>
    <col min="8705" max="8708" width="0" style="17" hidden="1" customWidth="1"/>
    <col min="8709" max="8709" width="10.140625" style="17" customWidth="1"/>
    <col min="8710" max="8710" width="11.7109375" style="17" customWidth="1"/>
    <col min="8711" max="8711" width="0" style="17" hidden="1" customWidth="1"/>
    <col min="8712" max="8712" width="8.5703125" style="17" customWidth="1"/>
    <col min="8713" max="8713" width="7.85546875" style="17" customWidth="1"/>
    <col min="8714" max="8714" width="9.5703125" style="17" customWidth="1"/>
    <col min="8715" max="8715" width="0" style="17" hidden="1" customWidth="1"/>
    <col min="8716" max="8716" width="8.140625" style="17" customWidth="1"/>
    <col min="8717" max="8717" width="9.5703125" style="17" customWidth="1"/>
    <col min="8718" max="8718" width="10.85546875" style="17" customWidth="1"/>
    <col min="8719" max="8725" width="10" style="17" customWidth="1"/>
    <col min="8726" max="8726" width="12" style="17" customWidth="1"/>
    <col min="8727" max="8727" width="12.5703125" style="17" customWidth="1"/>
    <col min="8728" max="8728" width="20.140625" style="17" customWidth="1"/>
    <col min="8729" max="8729" width="10.42578125" style="17" bestFit="1" customWidth="1"/>
    <col min="8730" max="8730" width="14.140625" style="17" customWidth="1"/>
    <col min="8731" max="8954" width="9.140625" style="17"/>
    <col min="8955" max="8955" width="5.140625" style="17" customWidth="1"/>
    <col min="8956" max="8956" width="27.140625" style="17" customWidth="1"/>
    <col min="8957" max="8957" width="0" style="17" hidden="1" customWidth="1"/>
    <col min="8958" max="8958" width="5.85546875" style="17" customWidth="1"/>
    <col min="8959" max="8959" width="4.28515625" style="17" customWidth="1"/>
    <col min="8960" max="8960" width="12.5703125" style="17" customWidth="1"/>
    <col min="8961" max="8964" width="0" style="17" hidden="1" customWidth="1"/>
    <col min="8965" max="8965" width="10.140625" style="17" customWidth="1"/>
    <col min="8966" max="8966" width="11.7109375" style="17" customWidth="1"/>
    <col min="8967" max="8967" width="0" style="17" hidden="1" customWidth="1"/>
    <col min="8968" max="8968" width="8.5703125" style="17" customWidth="1"/>
    <col min="8969" max="8969" width="7.85546875" style="17" customWidth="1"/>
    <col min="8970" max="8970" width="9.5703125" style="17" customWidth="1"/>
    <col min="8971" max="8971" width="0" style="17" hidden="1" customWidth="1"/>
    <col min="8972" max="8972" width="8.140625" style="17" customWidth="1"/>
    <col min="8973" max="8973" width="9.5703125" style="17" customWidth="1"/>
    <col min="8974" max="8974" width="10.85546875" style="17" customWidth="1"/>
    <col min="8975" max="8981" width="10" style="17" customWidth="1"/>
    <col min="8982" max="8982" width="12" style="17" customWidth="1"/>
    <col min="8983" max="8983" width="12.5703125" style="17" customWidth="1"/>
    <col min="8984" max="8984" width="20.140625" style="17" customWidth="1"/>
    <col min="8985" max="8985" width="10.42578125" style="17" bestFit="1" customWidth="1"/>
    <col min="8986" max="8986" width="14.140625" style="17" customWidth="1"/>
    <col min="8987" max="9210" width="9.140625" style="17"/>
    <col min="9211" max="9211" width="5.140625" style="17" customWidth="1"/>
    <col min="9212" max="9212" width="27.140625" style="17" customWidth="1"/>
    <col min="9213" max="9213" width="0" style="17" hidden="1" customWidth="1"/>
    <col min="9214" max="9214" width="5.85546875" style="17" customWidth="1"/>
    <col min="9215" max="9215" width="4.28515625" style="17" customWidth="1"/>
    <col min="9216" max="9216" width="12.5703125" style="17" customWidth="1"/>
    <col min="9217" max="9220" width="0" style="17" hidden="1" customWidth="1"/>
    <col min="9221" max="9221" width="10.140625" style="17" customWidth="1"/>
    <col min="9222" max="9222" width="11.7109375" style="17" customWidth="1"/>
    <col min="9223" max="9223" width="0" style="17" hidden="1" customWidth="1"/>
    <col min="9224" max="9224" width="8.5703125" style="17" customWidth="1"/>
    <col min="9225" max="9225" width="7.85546875" style="17" customWidth="1"/>
    <col min="9226" max="9226" width="9.5703125" style="17" customWidth="1"/>
    <col min="9227" max="9227" width="0" style="17" hidden="1" customWidth="1"/>
    <col min="9228" max="9228" width="8.140625" style="17" customWidth="1"/>
    <col min="9229" max="9229" width="9.5703125" style="17" customWidth="1"/>
    <col min="9230" max="9230" width="10.85546875" style="17" customWidth="1"/>
    <col min="9231" max="9237" width="10" style="17" customWidth="1"/>
    <col min="9238" max="9238" width="12" style="17" customWidth="1"/>
    <col min="9239" max="9239" width="12.5703125" style="17" customWidth="1"/>
    <col min="9240" max="9240" width="20.140625" style="17" customWidth="1"/>
    <col min="9241" max="9241" width="10.42578125" style="17" bestFit="1" customWidth="1"/>
    <col min="9242" max="9242" width="14.140625" style="17" customWidth="1"/>
    <col min="9243" max="9466" width="9.140625" style="17"/>
    <col min="9467" max="9467" width="5.140625" style="17" customWidth="1"/>
    <col min="9468" max="9468" width="27.140625" style="17" customWidth="1"/>
    <col min="9469" max="9469" width="0" style="17" hidden="1" customWidth="1"/>
    <col min="9470" max="9470" width="5.85546875" style="17" customWidth="1"/>
    <col min="9471" max="9471" width="4.28515625" style="17" customWidth="1"/>
    <col min="9472" max="9472" width="12.5703125" style="17" customWidth="1"/>
    <col min="9473" max="9476" width="0" style="17" hidden="1" customWidth="1"/>
    <col min="9477" max="9477" width="10.140625" style="17" customWidth="1"/>
    <col min="9478" max="9478" width="11.7109375" style="17" customWidth="1"/>
    <col min="9479" max="9479" width="0" style="17" hidden="1" customWidth="1"/>
    <col min="9480" max="9480" width="8.5703125" style="17" customWidth="1"/>
    <col min="9481" max="9481" width="7.85546875" style="17" customWidth="1"/>
    <col min="9482" max="9482" width="9.5703125" style="17" customWidth="1"/>
    <col min="9483" max="9483" width="0" style="17" hidden="1" customWidth="1"/>
    <col min="9484" max="9484" width="8.140625" style="17" customWidth="1"/>
    <col min="9485" max="9485" width="9.5703125" style="17" customWidth="1"/>
    <col min="9486" max="9486" width="10.85546875" style="17" customWidth="1"/>
    <col min="9487" max="9493" width="10" style="17" customWidth="1"/>
    <col min="9494" max="9494" width="12" style="17" customWidth="1"/>
    <col min="9495" max="9495" width="12.5703125" style="17" customWidth="1"/>
    <col min="9496" max="9496" width="20.140625" style="17" customWidth="1"/>
    <col min="9497" max="9497" width="10.42578125" style="17" bestFit="1" customWidth="1"/>
    <col min="9498" max="9498" width="14.140625" style="17" customWidth="1"/>
    <col min="9499" max="9722" width="9.140625" style="17"/>
    <col min="9723" max="9723" width="5.140625" style="17" customWidth="1"/>
    <col min="9724" max="9724" width="27.140625" style="17" customWidth="1"/>
    <col min="9725" max="9725" width="0" style="17" hidden="1" customWidth="1"/>
    <col min="9726" max="9726" width="5.85546875" style="17" customWidth="1"/>
    <col min="9727" max="9727" width="4.28515625" style="17" customWidth="1"/>
    <col min="9728" max="9728" width="12.5703125" style="17" customWidth="1"/>
    <col min="9729" max="9732" width="0" style="17" hidden="1" customWidth="1"/>
    <col min="9733" max="9733" width="10.140625" style="17" customWidth="1"/>
    <col min="9734" max="9734" width="11.7109375" style="17" customWidth="1"/>
    <col min="9735" max="9735" width="0" style="17" hidden="1" customWidth="1"/>
    <col min="9736" max="9736" width="8.5703125" style="17" customWidth="1"/>
    <col min="9737" max="9737" width="7.85546875" style="17" customWidth="1"/>
    <col min="9738" max="9738" width="9.5703125" style="17" customWidth="1"/>
    <col min="9739" max="9739" width="0" style="17" hidden="1" customWidth="1"/>
    <col min="9740" max="9740" width="8.140625" style="17" customWidth="1"/>
    <col min="9741" max="9741" width="9.5703125" style="17" customWidth="1"/>
    <col min="9742" max="9742" width="10.85546875" style="17" customWidth="1"/>
    <col min="9743" max="9749" width="10" style="17" customWidth="1"/>
    <col min="9750" max="9750" width="12" style="17" customWidth="1"/>
    <col min="9751" max="9751" width="12.5703125" style="17" customWidth="1"/>
    <col min="9752" max="9752" width="20.140625" style="17" customWidth="1"/>
    <col min="9753" max="9753" width="10.42578125" style="17" bestFit="1" customWidth="1"/>
    <col min="9754" max="9754" width="14.140625" style="17" customWidth="1"/>
    <col min="9755" max="9978" width="9.140625" style="17"/>
    <col min="9979" max="9979" width="5.140625" style="17" customWidth="1"/>
    <col min="9980" max="9980" width="27.140625" style="17" customWidth="1"/>
    <col min="9981" max="9981" width="0" style="17" hidden="1" customWidth="1"/>
    <col min="9982" max="9982" width="5.85546875" style="17" customWidth="1"/>
    <col min="9983" max="9983" width="4.28515625" style="17" customWidth="1"/>
    <col min="9984" max="9984" width="12.5703125" style="17" customWidth="1"/>
    <col min="9985" max="9988" width="0" style="17" hidden="1" customWidth="1"/>
    <col min="9989" max="9989" width="10.140625" style="17" customWidth="1"/>
    <col min="9990" max="9990" width="11.7109375" style="17" customWidth="1"/>
    <col min="9991" max="9991" width="0" style="17" hidden="1" customWidth="1"/>
    <col min="9992" max="9992" width="8.5703125" style="17" customWidth="1"/>
    <col min="9993" max="9993" width="7.85546875" style="17" customWidth="1"/>
    <col min="9994" max="9994" width="9.5703125" style="17" customWidth="1"/>
    <col min="9995" max="9995" width="0" style="17" hidden="1" customWidth="1"/>
    <col min="9996" max="9996" width="8.140625" style="17" customWidth="1"/>
    <col min="9997" max="9997" width="9.5703125" style="17" customWidth="1"/>
    <col min="9998" max="9998" width="10.85546875" style="17" customWidth="1"/>
    <col min="9999" max="10005" width="10" style="17" customWidth="1"/>
    <col min="10006" max="10006" width="12" style="17" customWidth="1"/>
    <col min="10007" max="10007" width="12.5703125" style="17" customWidth="1"/>
    <col min="10008" max="10008" width="20.140625" style="17" customWidth="1"/>
    <col min="10009" max="10009" width="10.42578125" style="17" bestFit="1" customWidth="1"/>
    <col min="10010" max="10010" width="14.140625" style="17" customWidth="1"/>
    <col min="10011" max="10234" width="9.140625" style="17"/>
    <col min="10235" max="10235" width="5.140625" style="17" customWidth="1"/>
    <col min="10236" max="10236" width="27.140625" style="17" customWidth="1"/>
    <col min="10237" max="10237" width="0" style="17" hidden="1" customWidth="1"/>
    <col min="10238" max="10238" width="5.85546875" style="17" customWidth="1"/>
    <col min="10239" max="10239" width="4.28515625" style="17" customWidth="1"/>
    <col min="10240" max="10240" width="12.5703125" style="17" customWidth="1"/>
    <col min="10241" max="10244" width="0" style="17" hidden="1" customWidth="1"/>
    <col min="10245" max="10245" width="10.140625" style="17" customWidth="1"/>
    <col min="10246" max="10246" width="11.7109375" style="17" customWidth="1"/>
    <col min="10247" max="10247" width="0" style="17" hidden="1" customWidth="1"/>
    <col min="10248" max="10248" width="8.5703125" style="17" customWidth="1"/>
    <col min="10249" max="10249" width="7.85546875" style="17" customWidth="1"/>
    <col min="10250" max="10250" width="9.5703125" style="17" customWidth="1"/>
    <col min="10251" max="10251" width="0" style="17" hidden="1" customWidth="1"/>
    <col min="10252" max="10252" width="8.140625" style="17" customWidth="1"/>
    <col min="10253" max="10253" width="9.5703125" style="17" customWidth="1"/>
    <col min="10254" max="10254" width="10.85546875" style="17" customWidth="1"/>
    <col min="10255" max="10261" width="10" style="17" customWidth="1"/>
    <col min="10262" max="10262" width="12" style="17" customWidth="1"/>
    <col min="10263" max="10263" width="12.5703125" style="17" customWidth="1"/>
    <col min="10264" max="10264" width="20.140625" style="17" customWidth="1"/>
    <col min="10265" max="10265" width="10.42578125" style="17" bestFit="1" customWidth="1"/>
    <col min="10266" max="10266" width="14.140625" style="17" customWidth="1"/>
    <col min="10267" max="10490" width="9.140625" style="17"/>
    <col min="10491" max="10491" width="5.140625" style="17" customWidth="1"/>
    <col min="10492" max="10492" width="27.140625" style="17" customWidth="1"/>
    <col min="10493" max="10493" width="0" style="17" hidden="1" customWidth="1"/>
    <col min="10494" max="10494" width="5.85546875" style="17" customWidth="1"/>
    <col min="10495" max="10495" width="4.28515625" style="17" customWidth="1"/>
    <col min="10496" max="10496" width="12.5703125" style="17" customWidth="1"/>
    <col min="10497" max="10500" width="0" style="17" hidden="1" customWidth="1"/>
    <col min="10501" max="10501" width="10.140625" style="17" customWidth="1"/>
    <col min="10502" max="10502" width="11.7109375" style="17" customWidth="1"/>
    <col min="10503" max="10503" width="0" style="17" hidden="1" customWidth="1"/>
    <col min="10504" max="10504" width="8.5703125" style="17" customWidth="1"/>
    <col min="10505" max="10505" width="7.85546875" style="17" customWidth="1"/>
    <col min="10506" max="10506" width="9.5703125" style="17" customWidth="1"/>
    <col min="10507" max="10507" width="0" style="17" hidden="1" customWidth="1"/>
    <col min="10508" max="10508" width="8.140625" style="17" customWidth="1"/>
    <col min="10509" max="10509" width="9.5703125" style="17" customWidth="1"/>
    <col min="10510" max="10510" width="10.85546875" style="17" customWidth="1"/>
    <col min="10511" max="10517" width="10" style="17" customWidth="1"/>
    <col min="10518" max="10518" width="12" style="17" customWidth="1"/>
    <col min="10519" max="10519" width="12.5703125" style="17" customWidth="1"/>
    <col min="10520" max="10520" width="20.140625" style="17" customWidth="1"/>
    <col min="10521" max="10521" width="10.42578125" style="17" bestFit="1" customWidth="1"/>
    <col min="10522" max="10522" width="14.140625" style="17" customWidth="1"/>
    <col min="10523" max="10746" width="9.140625" style="17"/>
    <col min="10747" max="10747" width="5.140625" style="17" customWidth="1"/>
    <col min="10748" max="10748" width="27.140625" style="17" customWidth="1"/>
    <col min="10749" max="10749" width="0" style="17" hidden="1" customWidth="1"/>
    <col min="10750" max="10750" width="5.85546875" style="17" customWidth="1"/>
    <col min="10751" max="10751" width="4.28515625" style="17" customWidth="1"/>
    <col min="10752" max="10752" width="12.5703125" style="17" customWidth="1"/>
    <col min="10753" max="10756" width="0" style="17" hidden="1" customWidth="1"/>
    <col min="10757" max="10757" width="10.140625" style="17" customWidth="1"/>
    <col min="10758" max="10758" width="11.7109375" style="17" customWidth="1"/>
    <col min="10759" max="10759" width="0" style="17" hidden="1" customWidth="1"/>
    <col min="10760" max="10760" width="8.5703125" style="17" customWidth="1"/>
    <col min="10761" max="10761" width="7.85546875" style="17" customWidth="1"/>
    <col min="10762" max="10762" width="9.5703125" style="17" customWidth="1"/>
    <col min="10763" max="10763" width="0" style="17" hidden="1" customWidth="1"/>
    <col min="10764" max="10764" width="8.140625" style="17" customWidth="1"/>
    <col min="10765" max="10765" width="9.5703125" style="17" customWidth="1"/>
    <col min="10766" max="10766" width="10.85546875" style="17" customWidth="1"/>
    <col min="10767" max="10773" width="10" style="17" customWidth="1"/>
    <col min="10774" max="10774" width="12" style="17" customWidth="1"/>
    <col min="10775" max="10775" width="12.5703125" style="17" customWidth="1"/>
    <col min="10776" max="10776" width="20.140625" style="17" customWidth="1"/>
    <col min="10777" max="10777" width="10.42578125" style="17" bestFit="1" customWidth="1"/>
    <col min="10778" max="10778" width="14.140625" style="17" customWidth="1"/>
    <col min="10779" max="11002" width="9.140625" style="17"/>
    <col min="11003" max="11003" width="5.140625" style="17" customWidth="1"/>
    <col min="11004" max="11004" width="27.140625" style="17" customWidth="1"/>
    <col min="11005" max="11005" width="0" style="17" hidden="1" customWidth="1"/>
    <col min="11006" max="11006" width="5.85546875" style="17" customWidth="1"/>
    <col min="11007" max="11007" width="4.28515625" style="17" customWidth="1"/>
    <col min="11008" max="11008" width="12.5703125" style="17" customWidth="1"/>
    <col min="11009" max="11012" width="0" style="17" hidden="1" customWidth="1"/>
    <col min="11013" max="11013" width="10.140625" style="17" customWidth="1"/>
    <col min="11014" max="11014" width="11.7109375" style="17" customWidth="1"/>
    <col min="11015" max="11015" width="0" style="17" hidden="1" customWidth="1"/>
    <col min="11016" max="11016" width="8.5703125" style="17" customWidth="1"/>
    <col min="11017" max="11017" width="7.85546875" style="17" customWidth="1"/>
    <col min="11018" max="11018" width="9.5703125" style="17" customWidth="1"/>
    <col min="11019" max="11019" width="0" style="17" hidden="1" customWidth="1"/>
    <col min="11020" max="11020" width="8.140625" style="17" customWidth="1"/>
    <col min="11021" max="11021" width="9.5703125" style="17" customWidth="1"/>
    <col min="11022" max="11022" width="10.85546875" style="17" customWidth="1"/>
    <col min="11023" max="11029" width="10" style="17" customWidth="1"/>
    <col min="11030" max="11030" width="12" style="17" customWidth="1"/>
    <col min="11031" max="11031" width="12.5703125" style="17" customWidth="1"/>
    <col min="11032" max="11032" width="20.140625" style="17" customWidth="1"/>
    <col min="11033" max="11033" width="10.42578125" style="17" bestFit="1" customWidth="1"/>
    <col min="11034" max="11034" width="14.140625" style="17" customWidth="1"/>
    <col min="11035" max="11258" width="9.140625" style="17"/>
    <col min="11259" max="11259" width="5.140625" style="17" customWidth="1"/>
    <col min="11260" max="11260" width="27.140625" style="17" customWidth="1"/>
    <col min="11261" max="11261" width="0" style="17" hidden="1" customWidth="1"/>
    <col min="11262" max="11262" width="5.85546875" style="17" customWidth="1"/>
    <col min="11263" max="11263" width="4.28515625" style="17" customWidth="1"/>
    <col min="11264" max="11264" width="12.5703125" style="17" customWidth="1"/>
    <col min="11265" max="11268" width="0" style="17" hidden="1" customWidth="1"/>
    <col min="11269" max="11269" width="10.140625" style="17" customWidth="1"/>
    <col min="11270" max="11270" width="11.7109375" style="17" customWidth="1"/>
    <col min="11271" max="11271" width="0" style="17" hidden="1" customWidth="1"/>
    <col min="11272" max="11272" width="8.5703125" style="17" customWidth="1"/>
    <col min="11273" max="11273" width="7.85546875" style="17" customWidth="1"/>
    <col min="11274" max="11274" width="9.5703125" style="17" customWidth="1"/>
    <col min="11275" max="11275" width="0" style="17" hidden="1" customWidth="1"/>
    <col min="11276" max="11276" width="8.140625" style="17" customWidth="1"/>
    <col min="11277" max="11277" width="9.5703125" style="17" customWidth="1"/>
    <col min="11278" max="11278" width="10.85546875" style="17" customWidth="1"/>
    <col min="11279" max="11285" width="10" style="17" customWidth="1"/>
    <col min="11286" max="11286" width="12" style="17" customWidth="1"/>
    <col min="11287" max="11287" width="12.5703125" style="17" customWidth="1"/>
    <col min="11288" max="11288" width="20.140625" style="17" customWidth="1"/>
    <col min="11289" max="11289" width="10.42578125" style="17" bestFit="1" customWidth="1"/>
    <col min="11290" max="11290" width="14.140625" style="17" customWidth="1"/>
    <col min="11291" max="11514" width="9.140625" style="17"/>
    <col min="11515" max="11515" width="5.140625" style="17" customWidth="1"/>
    <col min="11516" max="11516" width="27.140625" style="17" customWidth="1"/>
    <col min="11517" max="11517" width="0" style="17" hidden="1" customWidth="1"/>
    <col min="11518" max="11518" width="5.85546875" style="17" customWidth="1"/>
    <col min="11519" max="11519" width="4.28515625" style="17" customWidth="1"/>
    <col min="11520" max="11520" width="12.5703125" style="17" customWidth="1"/>
    <col min="11521" max="11524" width="0" style="17" hidden="1" customWidth="1"/>
    <col min="11525" max="11525" width="10.140625" style="17" customWidth="1"/>
    <col min="11526" max="11526" width="11.7109375" style="17" customWidth="1"/>
    <col min="11527" max="11527" width="0" style="17" hidden="1" customWidth="1"/>
    <col min="11528" max="11528" width="8.5703125" style="17" customWidth="1"/>
    <col min="11529" max="11529" width="7.85546875" style="17" customWidth="1"/>
    <col min="11530" max="11530" width="9.5703125" style="17" customWidth="1"/>
    <col min="11531" max="11531" width="0" style="17" hidden="1" customWidth="1"/>
    <col min="11532" max="11532" width="8.140625" style="17" customWidth="1"/>
    <col min="11533" max="11533" width="9.5703125" style="17" customWidth="1"/>
    <col min="11534" max="11534" width="10.85546875" style="17" customWidth="1"/>
    <col min="11535" max="11541" width="10" style="17" customWidth="1"/>
    <col min="11542" max="11542" width="12" style="17" customWidth="1"/>
    <col min="11543" max="11543" width="12.5703125" style="17" customWidth="1"/>
    <col min="11544" max="11544" width="20.140625" style="17" customWidth="1"/>
    <col min="11545" max="11545" width="10.42578125" style="17" bestFit="1" customWidth="1"/>
    <col min="11546" max="11546" width="14.140625" style="17" customWidth="1"/>
    <col min="11547" max="11770" width="9.140625" style="17"/>
    <col min="11771" max="11771" width="5.140625" style="17" customWidth="1"/>
    <col min="11772" max="11772" width="27.140625" style="17" customWidth="1"/>
    <col min="11773" max="11773" width="0" style="17" hidden="1" customWidth="1"/>
    <col min="11774" max="11774" width="5.85546875" style="17" customWidth="1"/>
    <col min="11775" max="11775" width="4.28515625" style="17" customWidth="1"/>
    <col min="11776" max="11776" width="12.5703125" style="17" customWidth="1"/>
    <col min="11777" max="11780" width="0" style="17" hidden="1" customWidth="1"/>
    <col min="11781" max="11781" width="10.140625" style="17" customWidth="1"/>
    <col min="11782" max="11782" width="11.7109375" style="17" customWidth="1"/>
    <col min="11783" max="11783" width="0" style="17" hidden="1" customWidth="1"/>
    <col min="11784" max="11784" width="8.5703125" style="17" customWidth="1"/>
    <col min="11785" max="11785" width="7.85546875" style="17" customWidth="1"/>
    <col min="11786" max="11786" width="9.5703125" style="17" customWidth="1"/>
    <col min="11787" max="11787" width="0" style="17" hidden="1" customWidth="1"/>
    <col min="11788" max="11788" width="8.140625" style="17" customWidth="1"/>
    <col min="11789" max="11789" width="9.5703125" style="17" customWidth="1"/>
    <col min="11790" max="11790" width="10.85546875" style="17" customWidth="1"/>
    <col min="11791" max="11797" width="10" style="17" customWidth="1"/>
    <col min="11798" max="11798" width="12" style="17" customWidth="1"/>
    <col min="11799" max="11799" width="12.5703125" style="17" customWidth="1"/>
    <col min="11800" max="11800" width="20.140625" style="17" customWidth="1"/>
    <col min="11801" max="11801" width="10.42578125" style="17" bestFit="1" customWidth="1"/>
    <col min="11802" max="11802" width="14.140625" style="17" customWidth="1"/>
    <col min="11803" max="12026" width="9.140625" style="17"/>
    <col min="12027" max="12027" width="5.140625" style="17" customWidth="1"/>
    <col min="12028" max="12028" width="27.140625" style="17" customWidth="1"/>
    <col min="12029" max="12029" width="0" style="17" hidden="1" customWidth="1"/>
    <col min="12030" max="12030" width="5.85546875" style="17" customWidth="1"/>
    <col min="12031" max="12031" width="4.28515625" style="17" customWidth="1"/>
    <col min="12032" max="12032" width="12.5703125" style="17" customWidth="1"/>
    <col min="12033" max="12036" width="0" style="17" hidden="1" customWidth="1"/>
    <col min="12037" max="12037" width="10.140625" style="17" customWidth="1"/>
    <col min="12038" max="12038" width="11.7109375" style="17" customWidth="1"/>
    <col min="12039" max="12039" width="0" style="17" hidden="1" customWidth="1"/>
    <col min="12040" max="12040" width="8.5703125" style="17" customWidth="1"/>
    <col min="12041" max="12041" width="7.85546875" style="17" customWidth="1"/>
    <col min="12042" max="12042" width="9.5703125" style="17" customWidth="1"/>
    <col min="12043" max="12043" width="0" style="17" hidden="1" customWidth="1"/>
    <col min="12044" max="12044" width="8.140625" style="17" customWidth="1"/>
    <col min="12045" max="12045" width="9.5703125" style="17" customWidth="1"/>
    <col min="12046" max="12046" width="10.85546875" style="17" customWidth="1"/>
    <col min="12047" max="12053" width="10" style="17" customWidth="1"/>
    <col min="12054" max="12054" width="12" style="17" customWidth="1"/>
    <col min="12055" max="12055" width="12.5703125" style="17" customWidth="1"/>
    <col min="12056" max="12056" width="20.140625" style="17" customWidth="1"/>
    <col min="12057" max="12057" width="10.42578125" style="17" bestFit="1" customWidth="1"/>
    <col min="12058" max="12058" width="14.140625" style="17" customWidth="1"/>
    <col min="12059" max="12282" width="9.140625" style="17"/>
    <col min="12283" max="12283" width="5.140625" style="17" customWidth="1"/>
    <col min="12284" max="12284" width="27.140625" style="17" customWidth="1"/>
    <col min="12285" max="12285" width="0" style="17" hidden="1" customWidth="1"/>
    <col min="12286" max="12286" width="5.85546875" style="17" customWidth="1"/>
    <col min="12287" max="12287" width="4.28515625" style="17" customWidth="1"/>
    <col min="12288" max="12288" width="12.5703125" style="17" customWidth="1"/>
    <col min="12289" max="12292" width="0" style="17" hidden="1" customWidth="1"/>
    <col min="12293" max="12293" width="10.140625" style="17" customWidth="1"/>
    <col min="12294" max="12294" width="11.7109375" style="17" customWidth="1"/>
    <col min="12295" max="12295" width="0" style="17" hidden="1" customWidth="1"/>
    <col min="12296" max="12296" width="8.5703125" style="17" customWidth="1"/>
    <col min="12297" max="12297" width="7.85546875" style="17" customWidth="1"/>
    <col min="12298" max="12298" width="9.5703125" style="17" customWidth="1"/>
    <col min="12299" max="12299" width="0" style="17" hidden="1" customWidth="1"/>
    <col min="12300" max="12300" width="8.140625" style="17" customWidth="1"/>
    <col min="12301" max="12301" width="9.5703125" style="17" customWidth="1"/>
    <col min="12302" max="12302" width="10.85546875" style="17" customWidth="1"/>
    <col min="12303" max="12309" width="10" style="17" customWidth="1"/>
    <col min="12310" max="12310" width="12" style="17" customWidth="1"/>
    <col min="12311" max="12311" width="12.5703125" style="17" customWidth="1"/>
    <col min="12312" max="12312" width="20.140625" style="17" customWidth="1"/>
    <col min="12313" max="12313" width="10.42578125" style="17" bestFit="1" customWidth="1"/>
    <col min="12314" max="12314" width="14.140625" style="17" customWidth="1"/>
    <col min="12315" max="12538" width="9.140625" style="17"/>
    <col min="12539" max="12539" width="5.140625" style="17" customWidth="1"/>
    <col min="12540" max="12540" width="27.140625" style="17" customWidth="1"/>
    <col min="12541" max="12541" width="0" style="17" hidden="1" customWidth="1"/>
    <col min="12542" max="12542" width="5.85546875" style="17" customWidth="1"/>
    <col min="12543" max="12543" width="4.28515625" style="17" customWidth="1"/>
    <col min="12544" max="12544" width="12.5703125" style="17" customWidth="1"/>
    <col min="12545" max="12548" width="0" style="17" hidden="1" customWidth="1"/>
    <col min="12549" max="12549" width="10.140625" style="17" customWidth="1"/>
    <col min="12550" max="12550" width="11.7109375" style="17" customWidth="1"/>
    <col min="12551" max="12551" width="0" style="17" hidden="1" customWidth="1"/>
    <col min="12552" max="12552" width="8.5703125" style="17" customWidth="1"/>
    <col min="12553" max="12553" width="7.85546875" style="17" customWidth="1"/>
    <col min="12554" max="12554" width="9.5703125" style="17" customWidth="1"/>
    <col min="12555" max="12555" width="0" style="17" hidden="1" customWidth="1"/>
    <col min="12556" max="12556" width="8.140625" style="17" customWidth="1"/>
    <col min="12557" max="12557" width="9.5703125" style="17" customWidth="1"/>
    <col min="12558" max="12558" width="10.85546875" style="17" customWidth="1"/>
    <col min="12559" max="12565" width="10" style="17" customWidth="1"/>
    <col min="12566" max="12566" width="12" style="17" customWidth="1"/>
    <col min="12567" max="12567" width="12.5703125" style="17" customWidth="1"/>
    <col min="12568" max="12568" width="20.140625" style="17" customWidth="1"/>
    <col min="12569" max="12569" width="10.42578125" style="17" bestFit="1" customWidth="1"/>
    <col min="12570" max="12570" width="14.140625" style="17" customWidth="1"/>
    <col min="12571" max="12794" width="9.140625" style="17"/>
    <col min="12795" max="12795" width="5.140625" style="17" customWidth="1"/>
    <col min="12796" max="12796" width="27.140625" style="17" customWidth="1"/>
    <col min="12797" max="12797" width="0" style="17" hidden="1" customWidth="1"/>
    <col min="12798" max="12798" width="5.85546875" style="17" customWidth="1"/>
    <col min="12799" max="12799" width="4.28515625" style="17" customWidth="1"/>
    <col min="12800" max="12800" width="12.5703125" style="17" customWidth="1"/>
    <col min="12801" max="12804" width="0" style="17" hidden="1" customWidth="1"/>
    <col min="12805" max="12805" width="10.140625" style="17" customWidth="1"/>
    <col min="12806" max="12806" width="11.7109375" style="17" customWidth="1"/>
    <col min="12807" max="12807" width="0" style="17" hidden="1" customWidth="1"/>
    <col min="12808" max="12808" width="8.5703125" style="17" customWidth="1"/>
    <col min="12809" max="12809" width="7.85546875" style="17" customWidth="1"/>
    <col min="12810" max="12810" width="9.5703125" style="17" customWidth="1"/>
    <col min="12811" max="12811" width="0" style="17" hidden="1" customWidth="1"/>
    <col min="12812" max="12812" width="8.140625" style="17" customWidth="1"/>
    <col min="12813" max="12813" width="9.5703125" style="17" customWidth="1"/>
    <col min="12814" max="12814" width="10.85546875" style="17" customWidth="1"/>
    <col min="12815" max="12821" width="10" style="17" customWidth="1"/>
    <col min="12822" max="12822" width="12" style="17" customWidth="1"/>
    <col min="12823" max="12823" width="12.5703125" style="17" customWidth="1"/>
    <col min="12824" max="12824" width="20.140625" style="17" customWidth="1"/>
    <col min="12825" max="12825" width="10.42578125" style="17" bestFit="1" customWidth="1"/>
    <col min="12826" max="12826" width="14.140625" style="17" customWidth="1"/>
    <col min="12827" max="13050" width="9.140625" style="17"/>
    <col min="13051" max="13051" width="5.140625" style="17" customWidth="1"/>
    <col min="13052" max="13052" width="27.140625" style="17" customWidth="1"/>
    <col min="13053" max="13053" width="0" style="17" hidden="1" customWidth="1"/>
    <col min="13054" max="13054" width="5.85546875" style="17" customWidth="1"/>
    <col min="13055" max="13055" width="4.28515625" style="17" customWidth="1"/>
    <col min="13056" max="13056" width="12.5703125" style="17" customWidth="1"/>
    <col min="13057" max="13060" width="0" style="17" hidden="1" customWidth="1"/>
    <col min="13061" max="13061" width="10.140625" style="17" customWidth="1"/>
    <col min="13062" max="13062" width="11.7109375" style="17" customWidth="1"/>
    <col min="13063" max="13063" width="0" style="17" hidden="1" customWidth="1"/>
    <col min="13064" max="13064" width="8.5703125" style="17" customWidth="1"/>
    <col min="13065" max="13065" width="7.85546875" style="17" customWidth="1"/>
    <col min="13066" max="13066" width="9.5703125" style="17" customWidth="1"/>
    <col min="13067" max="13067" width="0" style="17" hidden="1" customWidth="1"/>
    <col min="13068" max="13068" width="8.140625" style="17" customWidth="1"/>
    <col min="13069" max="13069" width="9.5703125" style="17" customWidth="1"/>
    <col min="13070" max="13070" width="10.85546875" style="17" customWidth="1"/>
    <col min="13071" max="13077" width="10" style="17" customWidth="1"/>
    <col min="13078" max="13078" width="12" style="17" customWidth="1"/>
    <col min="13079" max="13079" width="12.5703125" style="17" customWidth="1"/>
    <col min="13080" max="13080" width="20.140625" style="17" customWidth="1"/>
    <col min="13081" max="13081" width="10.42578125" style="17" bestFit="1" customWidth="1"/>
    <col min="13082" max="13082" width="14.140625" style="17" customWidth="1"/>
    <col min="13083" max="13306" width="9.140625" style="17"/>
    <col min="13307" max="13307" width="5.140625" style="17" customWidth="1"/>
    <col min="13308" max="13308" width="27.140625" style="17" customWidth="1"/>
    <col min="13309" max="13309" width="0" style="17" hidden="1" customWidth="1"/>
    <col min="13310" max="13310" width="5.85546875" style="17" customWidth="1"/>
    <col min="13311" max="13311" width="4.28515625" style="17" customWidth="1"/>
    <col min="13312" max="13312" width="12.5703125" style="17" customWidth="1"/>
    <col min="13313" max="13316" width="0" style="17" hidden="1" customWidth="1"/>
    <col min="13317" max="13317" width="10.140625" style="17" customWidth="1"/>
    <col min="13318" max="13318" width="11.7109375" style="17" customWidth="1"/>
    <col min="13319" max="13319" width="0" style="17" hidden="1" customWidth="1"/>
    <col min="13320" max="13320" width="8.5703125" style="17" customWidth="1"/>
    <col min="13321" max="13321" width="7.85546875" style="17" customWidth="1"/>
    <col min="13322" max="13322" width="9.5703125" style="17" customWidth="1"/>
    <col min="13323" max="13323" width="0" style="17" hidden="1" customWidth="1"/>
    <col min="13324" max="13324" width="8.140625" style="17" customWidth="1"/>
    <col min="13325" max="13325" width="9.5703125" style="17" customWidth="1"/>
    <col min="13326" max="13326" width="10.85546875" style="17" customWidth="1"/>
    <col min="13327" max="13333" width="10" style="17" customWidth="1"/>
    <col min="13334" max="13334" width="12" style="17" customWidth="1"/>
    <col min="13335" max="13335" width="12.5703125" style="17" customWidth="1"/>
    <col min="13336" max="13336" width="20.140625" style="17" customWidth="1"/>
    <col min="13337" max="13337" width="10.42578125" style="17" bestFit="1" customWidth="1"/>
    <col min="13338" max="13338" width="14.140625" style="17" customWidth="1"/>
    <col min="13339" max="13562" width="9.140625" style="17"/>
    <col min="13563" max="13563" width="5.140625" style="17" customWidth="1"/>
    <col min="13564" max="13564" width="27.140625" style="17" customWidth="1"/>
    <col min="13565" max="13565" width="0" style="17" hidden="1" customWidth="1"/>
    <col min="13566" max="13566" width="5.85546875" style="17" customWidth="1"/>
    <col min="13567" max="13567" width="4.28515625" style="17" customWidth="1"/>
    <col min="13568" max="13568" width="12.5703125" style="17" customWidth="1"/>
    <col min="13569" max="13572" width="0" style="17" hidden="1" customWidth="1"/>
    <col min="13573" max="13573" width="10.140625" style="17" customWidth="1"/>
    <col min="13574" max="13574" width="11.7109375" style="17" customWidth="1"/>
    <col min="13575" max="13575" width="0" style="17" hidden="1" customWidth="1"/>
    <col min="13576" max="13576" width="8.5703125" style="17" customWidth="1"/>
    <col min="13577" max="13577" width="7.85546875" style="17" customWidth="1"/>
    <col min="13578" max="13578" width="9.5703125" style="17" customWidth="1"/>
    <col min="13579" max="13579" width="0" style="17" hidden="1" customWidth="1"/>
    <col min="13580" max="13580" width="8.140625" style="17" customWidth="1"/>
    <col min="13581" max="13581" width="9.5703125" style="17" customWidth="1"/>
    <col min="13582" max="13582" width="10.85546875" style="17" customWidth="1"/>
    <col min="13583" max="13589" width="10" style="17" customWidth="1"/>
    <col min="13590" max="13590" width="12" style="17" customWidth="1"/>
    <col min="13591" max="13591" width="12.5703125" style="17" customWidth="1"/>
    <col min="13592" max="13592" width="20.140625" style="17" customWidth="1"/>
    <col min="13593" max="13593" width="10.42578125" style="17" bestFit="1" customWidth="1"/>
    <col min="13594" max="13594" width="14.140625" style="17" customWidth="1"/>
    <col min="13595" max="13818" width="9.140625" style="17"/>
    <col min="13819" max="13819" width="5.140625" style="17" customWidth="1"/>
    <col min="13820" max="13820" width="27.140625" style="17" customWidth="1"/>
    <col min="13821" max="13821" width="0" style="17" hidden="1" customWidth="1"/>
    <col min="13822" max="13822" width="5.85546875" style="17" customWidth="1"/>
    <col min="13823" max="13823" width="4.28515625" style="17" customWidth="1"/>
    <col min="13824" max="13824" width="12.5703125" style="17" customWidth="1"/>
    <col min="13825" max="13828" width="0" style="17" hidden="1" customWidth="1"/>
    <col min="13829" max="13829" width="10.140625" style="17" customWidth="1"/>
    <col min="13830" max="13830" width="11.7109375" style="17" customWidth="1"/>
    <col min="13831" max="13831" width="0" style="17" hidden="1" customWidth="1"/>
    <col min="13832" max="13832" width="8.5703125" style="17" customWidth="1"/>
    <col min="13833" max="13833" width="7.85546875" style="17" customWidth="1"/>
    <col min="13834" max="13834" width="9.5703125" style="17" customWidth="1"/>
    <col min="13835" max="13835" width="0" style="17" hidden="1" customWidth="1"/>
    <col min="13836" max="13836" width="8.140625" style="17" customWidth="1"/>
    <col min="13837" max="13837" width="9.5703125" style="17" customWidth="1"/>
    <col min="13838" max="13838" width="10.85546875" style="17" customWidth="1"/>
    <col min="13839" max="13845" width="10" style="17" customWidth="1"/>
    <col min="13846" max="13846" width="12" style="17" customWidth="1"/>
    <col min="13847" max="13847" width="12.5703125" style="17" customWidth="1"/>
    <col min="13848" max="13848" width="20.140625" style="17" customWidth="1"/>
    <col min="13849" max="13849" width="10.42578125" style="17" bestFit="1" customWidth="1"/>
    <col min="13850" max="13850" width="14.140625" style="17" customWidth="1"/>
    <col min="13851" max="14074" width="9.140625" style="17"/>
    <col min="14075" max="14075" width="5.140625" style="17" customWidth="1"/>
    <col min="14076" max="14076" width="27.140625" style="17" customWidth="1"/>
    <col min="14077" max="14077" width="0" style="17" hidden="1" customWidth="1"/>
    <col min="14078" max="14078" width="5.85546875" style="17" customWidth="1"/>
    <col min="14079" max="14079" width="4.28515625" style="17" customWidth="1"/>
    <col min="14080" max="14080" width="12.5703125" style="17" customWidth="1"/>
    <col min="14081" max="14084" width="0" style="17" hidden="1" customWidth="1"/>
    <col min="14085" max="14085" width="10.140625" style="17" customWidth="1"/>
    <col min="14086" max="14086" width="11.7109375" style="17" customWidth="1"/>
    <col min="14087" max="14087" width="0" style="17" hidden="1" customWidth="1"/>
    <col min="14088" max="14088" width="8.5703125" style="17" customWidth="1"/>
    <col min="14089" max="14089" width="7.85546875" style="17" customWidth="1"/>
    <col min="14090" max="14090" width="9.5703125" style="17" customWidth="1"/>
    <col min="14091" max="14091" width="0" style="17" hidden="1" customWidth="1"/>
    <col min="14092" max="14092" width="8.140625" style="17" customWidth="1"/>
    <col min="14093" max="14093" width="9.5703125" style="17" customWidth="1"/>
    <col min="14094" max="14094" width="10.85546875" style="17" customWidth="1"/>
    <col min="14095" max="14101" width="10" style="17" customWidth="1"/>
    <col min="14102" max="14102" width="12" style="17" customWidth="1"/>
    <col min="14103" max="14103" width="12.5703125" style="17" customWidth="1"/>
    <col min="14104" max="14104" width="20.140625" style="17" customWidth="1"/>
    <col min="14105" max="14105" width="10.42578125" style="17" bestFit="1" customWidth="1"/>
    <col min="14106" max="14106" width="14.140625" style="17" customWidth="1"/>
    <col min="14107" max="14330" width="9.140625" style="17"/>
    <col min="14331" max="14331" width="5.140625" style="17" customWidth="1"/>
    <col min="14332" max="14332" width="27.140625" style="17" customWidth="1"/>
    <col min="14333" max="14333" width="0" style="17" hidden="1" customWidth="1"/>
    <col min="14334" max="14334" width="5.85546875" style="17" customWidth="1"/>
    <col min="14335" max="14335" width="4.28515625" style="17" customWidth="1"/>
    <col min="14336" max="14336" width="12.5703125" style="17" customWidth="1"/>
    <col min="14337" max="14340" width="0" style="17" hidden="1" customWidth="1"/>
    <col min="14341" max="14341" width="10.140625" style="17" customWidth="1"/>
    <col min="14342" max="14342" width="11.7109375" style="17" customWidth="1"/>
    <col min="14343" max="14343" width="0" style="17" hidden="1" customWidth="1"/>
    <col min="14344" max="14344" width="8.5703125" style="17" customWidth="1"/>
    <col min="14345" max="14345" width="7.85546875" style="17" customWidth="1"/>
    <col min="14346" max="14346" width="9.5703125" style="17" customWidth="1"/>
    <col min="14347" max="14347" width="0" style="17" hidden="1" customWidth="1"/>
    <col min="14348" max="14348" width="8.140625" style="17" customWidth="1"/>
    <col min="14349" max="14349" width="9.5703125" style="17" customWidth="1"/>
    <col min="14350" max="14350" width="10.85546875" style="17" customWidth="1"/>
    <col min="14351" max="14357" width="10" style="17" customWidth="1"/>
    <col min="14358" max="14358" width="12" style="17" customWidth="1"/>
    <col min="14359" max="14359" width="12.5703125" style="17" customWidth="1"/>
    <col min="14360" max="14360" width="20.140625" style="17" customWidth="1"/>
    <col min="14361" max="14361" width="10.42578125" style="17" bestFit="1" customWidth="1"/>
    <col min="14362" max="14362" width="14.140625" style="17" customWidth="1"/>
    <col min="14363" max="14586" width="9.140625" style="17"/>
    <col min="14587" max="14587" width="5.140625" style="17" customWidth="1"/>
    <col min="14588" max="14588" width="27.140625" style="17" customWidth="1"/>
    <col min="14589" max="14589" width="0" style="17" hidden="1" customWidth="1"/>
    <col min="14590" max="14590" width="5.85546875" style="17" customWidth="1"/>
    <col min="14591" max="14591" width="4.28515625" style="17" customWidth="1"/>
    <col min="14592" max="14592" width="12.5703125" style="17" customWidth="1"/>
    <col min="14593" max="14596" width="0" style="17" hidden="1" customWidth="1"/>
    <col min="14597" max="14597" width="10.140625" style="17" customWidth="1"/>
    <col min="14598" max="14598" width="11.7109375" style="17" customWidth="1"/>
    <col min="14599" max="14599" width="0" style="17" hidden="1" customWidth="1"/>
    <col min="14600" max="14600" width="8.5703125" style="17" customWidth="1"/>
    <col min="14601" max="14601" width="7.85546875" style="17" customWidth="1"/>
    <col min="14602" max="14602" width="9.5703125" style="17" customWidth="1"/>
    <col min="14603" max="14603" width="0" style="17" hidden="1" customWidth="1"/>
    <col min="14604" max="14604" width="8.140625" style="17" customWidth="1"/>
    <col min="14605" max="14605" width="9.5703125" style="17" customWidth="1"/>
    <col min="14606" max="14606" width="10.85546875" style="17" customWidth="1"/>
    <col min="14607" max="14613" width="10" style="17" customWidth="1"/>
    <col min="14614" max="14614" width="12" style="17" customWidth="1"/>
    <col min="14615" max="14615" width="12.5703125" style="17" customWidth="1"/>
    <col min="14616" max="14616" width="20.140625" style="17" customWidth="1"/>
    <col min="14617" max="14617" width="10.42578125" style="17" bestFit="1" customWidth="1"/>
    <col min="14618" max="14618" width="14.140625" style="17" customWidth="1"/>
    <col min="14619" max="14842" width="9.140625" style="17"/>
    <col min="14843" max="14843" width="5.140625" style="17" customWidth="1"/>
    <col min="14844" max="14844" width="27.140625" style="17" customWidth="1"/>
    <col min="14845" max="14845" width="0" style="17" hidden="1" customWidth="1"/>
    <col min="14846" max="14846" width="5.85546875" style="17" customWidth="1"/>
    <col min="14847" max="14847" width="4.28515625" style="17" customWidth="1"/>
    <col min="14848" max="14848" width="12.5703125" style="17" customWidth="1"/>
    <col min="14849" max="14852" width="0" style="17" hidden="1" customWidth="1"/>
    <col min="14853" max="14853" width="10.140625" style="17" customWidth="1"/>
    <col min="14854" max="14854" width="11.7109375" style="17" customWidth="1"/>
    <col min="14855" max="14855" width="0" style="17" hidden="1" customWidth="1"/>
    <col min="14856" max="14856" width="8.5703125" style="17" customWidth="1"/>
    <col min="14857" max="14857" width="7.85546875" style="17" customWidth="1"/>
    <col min="14858" max="14858" width="9.5703125" style="17" customWidth="1"/>
    <col min="14859" max="14859" width="0" style="17" hidden="1" customWidth="1"/>
    <col min="14860" max="14860" width="8.140625" style="17" customWidth="1"/>
    <col min="14861" max="14861" width="9.5703125" style="17" customWidth="1"/>
    <col min="14862" max="14862" width="10.85546875" style="17" customWidth="1"/>
    <col min="14863" max="14869" width="10" style="17" customWidth="1"/>
    <col min="14870" max="14870" width="12" style="17" customWidth="1"/>
    <col min="14871" max="14871" width="12.5703125" style="17" customWidth="1"/>
    <col min="14872" max="14872" width="20.140625" style="17" customWidth="1"/>
    <col min="14873" max="14873" width="10.42578125" style="17" bestFit="1" customWidth="1"/>
    <col min="14874" max="14874" width="14.140625" style="17" customWidth="1"/>
    <col min="14875" max="15098" width="9.140625" style="17"/>
    <col min="15099" max="15099" width="5.140625" style="17" customWidth="1"/>
    <col min="15100" max="15100" width="27.140625" style="17" customWidth="1"/>
    <col min="15101" max="15101" width="0" style="17" hidden="1" customWidth="1"/>
    <col min="15102" max="15102" width="5.85546875" style="17" customWidth="1"/>
    <col min="15103" max="15103" width="4.28515625" style="17" customWidth="1"/>
    <col min="15104" max="15104" width="12.5703125" style="17" customWidth="1"/>
    <col min="15105" max="15108" width="0" style="17" hidden="1" customWidth="1"/>
    <col min="15109" max="15109" width="10.140625" style="17" customWidth="1"/>
    <col min="15110" max="15110" width="11.7109375" style="17" customWidth="1"/>
    <col min="15111" max="15111" width="0" style="17" hidden="1" customWidth="1"/>
    <col min="15112" max="15112" width="8.5703125" style="17" customWidth="1"/>
    <col min="15113" max="15113" width="7.85546875" style="17" customWidth="1"/>
    <col min="15114" max="15114" width="9.5703125" style="17" customWidth="1"/>
    <col min="15115" max="15115" width="0" style="17" hidden="1" customWidth="1"/>
    <col min="15116" max="15116" width="8.140625" style="17" customWidth="1"/>
    <col min="15117" max="15117" width="9.5703125" style="17" customWidth="1"/>
    <col min="15118" max="15118" width="10.85546875" style="17" customWidth="1"/>
    <col min="15119" max="15125" width="10" style="17" customWidth="1"/>
    <col min="15126" max="15126" width="12" style="17" customWidth="1"/>
    <col min="15127" max="15127" width="12.5703125" style="17" customWidth="1"/>
    <col min="15128" max="15128" width="20.140625" style="17" customWidth="1"/>
    <col min="15129" max="15129" width="10.42578125" style="17" bestFit="1" customWidth="1"/>
    <col min="15130" max="15130" width="14.140625" style="17" customWidth="1"/>
    <col min="15131" max="15354" width="9.140625" style="17"/>
    <col min="15355" max="15355" width="5.140625" style="17" customWidth="1"/>
    <col min="15356" max="15356" width="27.140625" style="17" customWidth="1"/>
    <col min="15357" max="15357" width="0" style="17" hidden="1" customWidth="1"/>
    <col min="15358" max="15358" width="5.85546875" style="17" customWidth="1"/>
    <col min="15359" max="15359" width="4.28515625" style="17" customWidth="1"/>
    <col min="15360" max="15360" width="12.5703125" style="17" customWidth="1"/>
    <col min="15361" max="15364" width="0" style="17" hidden="1" customWidth="1"/>
    <col min="15365" max="15365" width="10.140625" style="17" customWidth="1"/>
    <col min="15366" max="15366" width="11.7109375" style="17" customWidth="1"/>
    <col min="15367" max="15367" width="0" style="17" hidden="1" customWidth="1"/>
    <col min="15368" max="15368" width="8.5703125" style="17" customWidth="1"/>
    <col min="15369" max="15369" width="7.85546875" style="17" customWidth="1"/>
    <col min="15370" max="15370" width="9.5703125" style="17" customWidth="1"/>
    <col min="15371" max="15371" width="0" style="17" hidden="1" customWidth="1"/>
    <col min="15372" max="15372" width="8.140625" style="17" customWidth="1"/>
    <col min="15373" max="15373" width="9.5703125" style="17" customWidth="1"/>
    <col min="15374" max="15374" width="10.85546875" style="17" customWidth="1"/>
    <col min="15375" max="15381" width="10" style="17" customWidth="1"/>
    <col min="15382" max="15382" width="12" style="17" customWidth="1"/>
    <col min="15383" max="15383" width="12.5703125" style="17" customWidth="1"/>
    <col min="15384" max="15384" width="20.140625" style="17" customWidth="1"/>
    <col min="15385" max="15385" width="10.42578125" style="17" bestFit="1" customWidth="1"/>
    <col min="15386" max="15386" width="14.140625" style="17" customWidth="1"/>
    <col min="15387" max="15610" width="9.140625" style="17"/>
    <col min="15611" max="15611" width="5.140625" style="17" customWidth="1"/>
    <col min="15612" max="15612" width="27.140625" style="17" customWidth="1"/>
    <col min="15613" max="15613" width="0" style="17" hidden="1" customWidth="1"/>
    <col min="15614" max="15614" width="5.85546875" style="17" customWidth="1"/>
    <col min="15615" max="15615" width="4.28515625" style="17" customWidth="1"/>
    <col min="15616" max="15616" width="12.5703125" style="17" customWidth="1"/>
    <col min="15617" max="15620" width="0" style="17" hidden="1" customWidth="1"/>
    <col min="15621" max="15621" width="10.140625" style="17" customWidth="1"/>
    <col min="15622" max="15622" width="11.7109375" style="17" customWidth="1"/>
    <col min="15623" max="15623" width="0" style="17" hidden="1" customWidth="1"/>
    <col min="15624" max="15624" width="8.5703125" style="17" customWidth="1"/>
    <col min="15625" max="15625" width="7.85546875" style="17" customWidth="1"/>
    <col min="15626" max="15626" width="9.5703125" style="17" customWidth="1"/>
    <col min="15627" max="15627" width="0" style="17" hidden="1" customWidth="1"/>
    <col min="15628" max="15628" width="8.140625" style="17" customWidth="1"/>
    <col min="15629" max="15629" width="9.5703125" style="17" customWidth="1"/>
    <col min="15630" max="15630" width="10.85546875" style="17" customWidth="1"/>
    <col min="15631" max="15637" width="10" style="17" customWidth="1"/>
    <col min="15638" max="15638" width="12" style="17" customWidth="1"/>
    <col min="15639" max="15639" width="12.5703125" style="17" customWidth="1"/>
    <col min="15640" max="15640" width="20.140625" style="17" customWidth="1"/>
    <col min="15641" max="15641" width="10.42578125" style="17" bestFit="1" customWidth="1"/>
    <col min="15642" max="15642" width="14.140625" style="17" customWidth="1"/>
    <col min="15643" max="15866" width="9.140625" style="17"/>
    <col min="15867" max="15867" width="5.140625" style="17" customWidth="1"/>
    <col min="15868" max="15868" width="27.140625" style="17" customWidth="1"/>
    <col min="15869" max="15869" width="0" style="17" hidden="1" customWidth="1"/>
    <col min="15870" max="15870" width="5.85546875" style="17" customWidth="1"/>
    <col min="15871" max="15871" width="4.28515625" style="17" customWidth="1"/>
    <col min="15872" max="15872" width="12.5703125" style="17" customWidth="1"/>
    <col min="15873" max="15876" width="0" style="17" hidden="1" customWidth="1"/>
    <col min="15877" max="15877" width="10.140625" style="17" customWidth="1"/>
    <col min="15878" max="15878" width="11.7109375" style="17" customWidth="1"/>
    <col min="15879" max="15879" width="0" style="17" hidden="1" customWidth="1"/>
    <col min="15880" max="15880" width="8.5703125" style="17" customWidth="1"/>
    <col min="15881" max="15881" width="7.85546875" style="17" customWidth="1"/>
    <col min="15882" max="15882" width="9.5703125" style="17" customWidth="1"/>
    <col min="15883" max="15883" width="0" style="17" hidden="1" customWidth="1"/>
    <col min="15884" max="15884" width="8.140625" style="17" customWidth="1"/>
    <col min="15885" max="15885" width="9.5703125" style="17" customWidth="1"/>
    <col min="15886" max="15886" width="10.85546875" style="17" customWidth="1"/>
    <col min="15887" max="15893" width="10" style="17" customWidth="1"/>
    <col min="15894" max="15894" width="12" style="17" customWidth="1"/>
    <col min="15895" max="15895" width="12.5703125" style="17" customWidth="1"/>
    <col min="15896" max="15896" width="20.140625" style="17" customWidth="1"/>
    <col min="15897" max="15897" width="10.42578125" style="17" bestFit="1" customWidth="1"/>
    <col min="15898" max="15898" width="14.140625" style="17" customWidth="1"/>
    <col min="15899" max="16122" width="9.140625" style="17"/>
    <col min="16123" max="16123" width="5.140625" style="17" customWidth="1"/>
    <col min="16124" max="16124" width="27.140625" style="17" customWidth="1"/>
    <col min="16125" max="16125" width="0" style="17" hidden="1" customWidth="1"/>
    <col min="16126" max="16126" width="5.85546875" style="17" customWidth="1"/>
    <col min="16127" max="16127" width="4.28515625" style="17" customWidth="1"/>
    <col min="16128" max="16128" width="12.5703125" style="17" customWidth="1"/>
    <col min="16129" max="16132" width="0" style="17" hidden="1" customWidth="1"/>
    <col min="16133" max="16133" width="10.140625" style="17" customWidth="1"/>
    <col min="16134" max="16134" width="11.7109375" style="17" customWidth="1"/>
    <col min="16135" max="16135" width="0" style="17" hidden="1" customWidth="1"/>
    <col min="16136" max="16136" width="8.5703125" style="17" customWidth="1"/>
    <col min="16137" max="16137" width="7.85546875" style="17" customWidth="1"/>
    <col min="16138" max="16138" width="9.5703125" style="17" customWidth="1"/>
    <col min="16139" max="16139" width="0" style="17" hidden="1" customWidth="1"/>
    <col min="16140" max="16140" width="8.140625" style="17" customWidth="1"/>
    <col min="16141" max="16141" width="9.5703125" style="17" customWidth="1"/>
    <col min="16142" max="16142" width="10.85546875" style="17" customWidth="1"/>
    <col min="16143" max="16149" width="10" style="17" customWidth="1"/>
    <col min="16150" max="16150" width="12" style="17" customWidth="1"/>
    <col min="16151" max="16151" width="12.5703125" style="17" customWidth="1"/>
    <col min="16152" max="16152" width="20.140625" style="17" customWidth="1"/>
    <col min="16153" max="16153" width="10.42578125" style="17" bestFit="1" customWidth="1"/>
    <col min="16154" max="16154" width="14.140625" style="17" customWidth="1"/>
    <col min="16155" max="16384" width="9.140625" style="17"/>
  </cols>
  <sheetData>
    <row r="1" spans="1:24" ht="20.25" customHeight="1" x14ac:dyDescent="0.25">
      <c r="H1" s="212"/>
      <c r="I1" s="212"/>
      <c r="J1" s="212"/>
      <c r="K1" s="212"/>
      <c r="L1" s="212"/>
      <c r="M1" s="212"/>
      <c r="N1" s="212"/>
      <c r="O1" s="212"/>
      <c r="P1" s="212"/>
      <c r="Q1" s="212"/>
      <c r="R1" s="615" t="s">
        <v>361</v>
      </c>
      <c r="S1" s="615"/>
      <c r="T1" s="615"/>
    </row>
    <row r="2" spans="1:24" s="142" customFormat="1" ht="29.25" customHeight="1" x14ac:dyDescent="0.2">
      <c r="A2" s="597" t="s">
        <v>360</v>
      </c>
      <c r="B2" s="597"/>
      <c r="C2" s="597"/>
      <c r="D2" s="597"/>
      <c r="E2" s="597"/>
      <c r="F2" s="597"/>
      <c r="G2" s="597"/>
      <c r="H2" s="597"/>
      <c r="I2" s="597"/>
      <c r="J2" s="597"/>
      <c r="K2" s="597"/>
      <c r="L2" s="597"/>
      <c r="M2" s="597"/>
      <c r="N2" s="597"/>
      <c r="O2" s="597"/>
      <c r="P2" s="597"/>
      <c r="Q2" s="597"/>
      <c r="R2" s="597"/>
      <c r="S2" s="597"/>
      <c r="T2" s="597"/>
      <c r="U2" s="141"/>
      <c r="V2" s="141"/>
      <c r="W2" s="141"/>
    </row>
    <row r="3" spans="1:24" s="142" customFormat="1" ht="16.5" customHeight="1" x14ac:dyDescent="0.2">
      <c r="A3" s="598" t="str">
        <f>'Tổng hợp KHV 2024'!A3:W3</f>
        <v>(Kèm theo Kế hoạch số ……./KH-UBND ngày ……./……/2023 của UBND huyện Tân Yên)</v>
      </c>
      <c r="B3" s="598"/>
      <c r="C3" s="598"/>
      <c r="D3" s="598"/>
      <c r="E3" s="598"/>
      <c r="F3" s="598"/>
      <c r="G3" s="598"/>
      <c r="H3" s="598"/>
      <c r="I3" s="598"/>
      <c r="J3" s="598"/>
      <c r="K3" s="598"/>
      <c r="L3" s="598"/>
      <c r="M3" s="598"/>
      <c r="N3" s="598"/>
      <c r="O3" s="598"/>
      <c r="P3" s="598"/>
      <c r="Q3" s="598"/>
      <c r="R3" s="598"/>
      <c r="S3" s="598"/>
      <c r="T3" s="598"/>
      <c r="U3" s="143"/>
      <c r="V3" s="143"/>
      <c r="W3" s="143"/>
    </row>
    <row r="4" spans="1:24" s="142" customFormat="1" ht="15.75" x14ac:dyDescent="0.2">
      <c r="A4" s="599"/>
      <c r="B4" s="599"/>
      <c r="C4" s="599"/>
      <c r="D4" s="599"/>
      <c r="E4" s="599"/>
      <c r="F4" s="599"/>
      <c r="G4" s="599"/>
      <c r="H4" s="527"/>
      <c r="I4" s="527"/>
      <c r="J4" s="527"/>
      <c r="K4" s="527"/>
      <c r="L4" s="527"/>
      <c r="M4" s="527"/>
      <c r="N4" s="527"/>
      <c r="O4" s="527"/>
      <c r="P4" s="527"/>
      <c r="Q4" s="527"/>
      <c r="R4" s="602" t="s">
        <v>36</v>
      </c>
      <c r="S4" s="602"/>
      <c r="T4" s="602"/>
      <c r="U4" s="144"/>
      <c r="V4" s="144"/>
      <c r="W4" s="144"/>
    </row>
    <row r="5" spans="1:24" s="145" customFormat="1" ht="19.5" customHeight="1" x14ac:dyDescent="0.2">
      <c r="A5" s="600" t="s">
        <v>35</v>
      </c>
      <c r="B5" s="594" t="s">
        <v>34</v>
      </c>
      <c r="C5" s="594" t="s">
        <v>284</v>
      </c>
      <c r="D5" s="600" t="s">
        <v>152</v>
      </c>
      <c r="E5" s="601" t="s">
        <v>33</v>
      </c>
      <c r="F5" s="594" t="s">
        <v>32</v>
      </c>
      <c r="G5" s="594" t="s">
        <v>31</v>
      </c>
      <c r="H5" s="594" t="s">
        <v>233</v>
      </c>
      <c r="I5" s="578" t="s">
        <v>40</v>
      </c>
      <c r="J5" s="579"/>
      <c r="K5" s="580"/>
      <c r="L5" s="578" t="s">
        <v>145</v>
      </c>
      <c r="M5" s="579"/>
      <c r="N5" s="579"/>
      <c r="O5" s="579"/>
      <c r="P5" s="579"/>
      <c r="Q5" s="579"/>
      <c r="R5" s="580"/>
      <c r="S5" s="584" t="s">
        <v>141</v>
      </c>
      <c r="T5" s="584" t="s">
        <v>30</v>
      </c>
      <c r="U5" s="587"/>
      <c r="V5" s="595" t="s">
        <v>189</v>
      </c>
      <c r="W5" s="577" t="s">
        <v>188</v>
      </c>
    </row>
    <row r="6" spans="1:24" s="146" customFormat="1" ht="16.5" customHeight="1" x14ac:dyDescent="0.2">
      <c r="A6" s="600"/>
      <c r="B6" s="594"/>
      <c r="C6" s="594"/>
      <c r="D6" s="600"/>
      <c r="E6" s="601"/>
      <c r="F6" s="594"/>
      <c r="G6" s="594"/>
      <c r="H6" s="594"/>
      <c r="I6" s="581"/>
      <c r="J6" s="582"/>
      <c r="K6" s="583"/>
      <c r="L6" s="581"/>
      <c r="M6" s="582"/>
      <c r="N6" s="582"/>
      <c r="O6" s="582"/>
      <c r="P6" s="582"/>
      <c r="Q6" s="582"/>
      <c r="R6" s="583"/>
      <c r="S6" s="585"/>
      <c r="T6" s="585"/>
      <c r="U6" s="587"/>
      <c r="V6" s="595"/>
      <c r="W6" s="577"/>
    </row>
    <row r="7" spans="1:24" s="146" customFormat="1" ht="20.25" customHeight="1" x14ac:dyDescent="0.2">
      <c r="A7" s="600"/>
      <c r="B7" s="594"/>
      <c r="C7" s="594"/>
      <c r="D7" s="600"/>
      <c r="E7" s="601"/>
      <c r="F7" s="594"/>
      <c r="G7" s="594"/>
      <c r="H7" s="594"/>
      <c r="I7" s="584" t="s">
        <v>298</v>
      </c>
      <c r="J7" s="584" t="s">
        <v>299</v>
      </c>
      <c r="K7" s="584" t="s">
        <v>173</v>
      </c>
      <c r="L7" s="584" t="s">
        <v>182</v>
      </c>
      <c r="M7" s="588" t="s">
        <v>40</v>
      </c>
      <c r="N7" s="589"/>
      <c r="O7" s="589"/>
      <c r="P7" s="589"/>
      <c r="Q7" s="589"/>
      <c r="R7" s="590"/>
      <c r="S7" s="585"/>
      <c r="T7" s="585"/>
      <c r="U7" s="587"/>
      <c r="V7" s="595"/>
      <c r="W7" s="577"/>
    </row>
    <row r="8" spans="1:24" s="146" customFormat="1" ht="12.75" customHeight="1" x14ac:dyDescent="0.2">
      <c r="A8" s="600"/>
      <c r="B8" s="594"/>
      <c r="C8" s="594"/>
      <c r="D8" s="600"/>
      <c r="E8" s="601"/>
      <c r="F8" s="594"/>
      <c r="G8" s="594"/>
      <c r="H8" s="594"/>
      <c r="I8" s="585"/>
      <c r="J8" s="585"/>
      <c r="K8" s="585"/>
      <c r="L8" s="585"/>
      <c r="M8" s="584" t="s">
        <v>147</v>
      </c>
      <c r="N8" s="584" t="s">
        <v>148</v>
      </c>
      <c r="O8" s="584" t="s">
        <v>149</v>
      </c>
      <c r="P8" s="584" t="s">
        <v>318</v>
      </c>
      <c r="Q8" s="584" t="s">
        <v>195</v>
      </c>
      <c r="R8" s="584" t="s">
        <v>196</v>
      </c>
      <c r="S8" s="585"/>
      <c r="T8" s="585"/>
      <c r="U8" s="587"/>
      <c r="V8" s="595"/>
      <c r="W8" s="577"/>
    </row>
    <row r="9" spans="1:24" s="146" customFormat="1" ht="45" customHeight="1" x14ac:dyDescent="0.2">
      <c r="A9" s="600"/>
      <c r="B9" s="594"/>
      <c r="C9" s="594"/>
      <c r="D9" s="600"/>
      <c r="E9" s="601"/>
      <c r="F9" s="594"/>
      <c r="G9" s="594"/>
      <c r="H9" s="594"/>
      <c r="I9" s="586"/>
      <c r="J9" s="586"/>
      <c r="K9" s="586"/>
      <c r="L9" s="586"/>
      <c r="M9" s="586"/>
      <c r="N9" s="586"/>
      <c r="O9" s="586"/>
      <c r="P9" s="586"/>
      <c r="Q9" s="586"/>
      <c r="R9" s="586"/>
      <c r="S9" s="586"/>
      <c r="T9" s="586"/>
      <c r="U9" s="587"/>
      <c r="V9" s="595"/>
      <c r="W9" s="577"/>
      <c r="X9" s="147"/>
    </row>
    <row r="10" spans="1:24" s="146" customFormat="1" ht="45" hidden="1" customHeight="1" x14ac:dyDescent="0.2">
      <c r="A10" s="528">
        <v>1</v>
      </c>
      <c r="B10" s="528">
        <v>2</v>
      </c>
      <c r="C10" s="528">
        <v>3</v>
      </c>
      <c r="D10" s="525">
        <v>4</v>
      </c>
      <c r="E10" s="528">
        <v>5</v>
      </c>
      <c r="F10" s="525">
        <v>6</v>
      </c>
      <c r="G10" s="528">
        <v>7</v>
      </c>
      <c r="H10" s="525">
        <v>8</v>
      </c>
      <c r="I10" s="528">
        <v>9</v>
      </c>
      <c r="J10" s="525">
        <v>10</v>
      </c>
      <c r="K10" s="528">
        <v>11</v>
      </c>
      <c r="L10" s="525">
        <v>12</v>
      </c>
      <c r="M10" s="528">
        <v>13</v>
      </c>
      <c r="N10" s="525">
        <v>14</v>
      </c>
      <c r="O10" s="528">
        <v>15</v>
      </c>
      <c r="P10" s="525">
        <v>16</v>
      </c>
      <c r="Q10" s="528">
        <v>17</v>
      </c>
      <c r="R10" s="525">
        <v>18</v>
      </c>
      <c r="S10" s="528">
        <v>19</v>
      </c>
      <c r="T10" s="525">
        <v>20</v>
      </c>
      <c r="U10" s="526"/>
      <c r="V10" s="189"/>
      <c r="W10" s="189"/>
      <c r="X10" s="147"/>
    </row>
    <row r="11" spans="1:24" s="16" customFormat="1" ht="35.25" customHeight="1" x14ac:dyDescent="0.2">
      <c r="A11" s="11"/>
      <c r="B11" s="267" t="s">
        <v>41</v>
      </c>
      <c r="C11" s="267"/>
      <c r="D11" s="15"/>
      <c r="E11" s="41"/>
      <c r="F11" s="148">
        <f>F12</f>
        <v>18</v>
      </c>
      <c r="G11" s="148">
        <f t="shared" ref="G11:U11" si="0">G12</f>
        <v>0</v>
      </c>
      <c r="H11" s="148">
        <f t="shared" si="0"/>
        <v>0</v>
      </c>
      <c r="I11" s="148">
        <f t="shared" si="0"/>
        <v>0</v>
      </c>
      <c r="J11" s="148">
        <f t="shared" si="0"/>
        <v>0</v>
      </c>
      <c r="K11" s="148">
        <f t="shared" si="0"/>
        <v>0</v>
      </c>
      <c r="L11" s="148">
        <f t="shared" si="0"/>
        <v>5400</v>
      </c>
      <c r="M11" s="148">
        <f t="shared" si="0"/>
        <v>0</v>
      </c>
      <c r="N11" s="148">
        <f t="shared" si="0"/>
        <v>0</v>
      </c>
      <c r="O11" s="148">
        <f t="shared" si="0"/>
        <v>5400</v>
      </c>
      <c r="P11" s="148">
        <f t="shared" si="0"/>
        <v>0</v>
      </c>
      <c r="Q11" s="148">
        <f t="shared" si="0"/>
        <v>0</v>
      </c>
      <c r="R11" s="148">
        <f t="shared" si="0"/>
        <v>0</v>
      </c>
      <c r="S11" s="148">
        <f t="shared" si="0"/>
        <v>5400</v>
      </c>
      <c r="T11" s="148">
        <f t="shared" si="0"/>
        <v>0</v>
      </c>
      <c r="U11" s="148">
        <f t="shared" si="0"/>
        <v>0</v>
      </c>
      <c r="V11" s="168"/>
      <c r="W11" s="168">
        <f t="shared" ref="W11" si="1">G11-H11</f>
        <v>0</v>
      </c>
    </row>
    <row r="12" spans="1:24" s="16" customFormat="1" ht="16.5" x14ac:dyDescent="0.2">
      <c r="A12" s="11"/>
      <c r="B12" s="267" t="s">
        <v>296</v>
      </c>
      <c r="C12" s="214"/>
      <c r="D12" s="157"/>
      <c r="E12" s="41"/>
      <c r="F12" s="148">
        <f>SUM(F13:F30)</f>
        <v>18</v>
      </c>
      <c r="G12" s="148">
        <f>SUM(G13:G30)</f>
        <v>0</v>
      </c>
      <c r="H12" s="148">
        <f t="shared" ref="H12:H30" si="2">SUM(I12:K12)</f>
        <v>0</v>
      </c>
      <c r="I12" s="148">
        <f t="shared" ref="I12:U12" si="3">SUM(I13:I30)</f>
        <v>0</v>
      </c>
      <c r="J12" s="148">
        <f t="shared" si="3"/>
        <v>0</v>
      </c>
      <c r="K12" s="148">
        <f t="shared" si="3"/>
        <v>0</v>
      </c>
      <c r="L12" s="148">
        <f t="shared" si="3"/>
        <v>5400</v>
      </c>
      <c r="M12" s="148">
        <f t="shared" si="3"/>
        <v>0</v>
      </c>
      <c r="N12" s="148">
        <f t="shared" si="3"/>
        <v>0</v>
      </c>
      <c r="O12" s="148">
        <f t="shared" si="3"/>
        <v>5400</v>
      </c>
      <c r="P12" s="148">
        <f t="shared" si="3"/>
        <v>0</v>
      </c>
      <c r="Q12" s="148">
        <f t="shared" si="3"/>
        <v>0</v>
      </c>
      <c r="R12" s="148">
        <f t="shared" si="3"/>
        <v>0</v>
      </c>
      <c r="S12" s="148">
        <f t="shared" si="3"/>
        <v>5400</v>
      </c>
      <c r="T12" s="148">
        <f t="shared" si="3"/>
        <v>0</v>
      </c>
      <c r="U12" s="148">
        <f t="shared" si="3"/>
        <v>0</v>
      </c>
      <c r="V12" s="168"/>
      <c r="W12" s="168"/>
      <c r="X12" s="19"/>
    </row>
    <row r="13" spans="1:24" s="16" customFormat="1" ht="33" x14ac:dyDescent="0.2">
      <c r="A13" s="20">
        <v>1</v>
      </c>
      <c r="B13" s="460" t="s">
        <v>42</v>
      </c>
      <c r="C13" s="100" t="s">
        <v>209</v>
      </c>
      <c r="D13" s="157"/>
      <c r="E13" s="41"/>
      <c r="F13" s="148">
        <v>1</v>
      </c>
      <c r="G13" s="148"/>
      <c r="H13" s="148">
        <f t="shared" si="2"/>
        <v>0</v>
      </c>
      <c r="I13" s="148"/>
      <c r="J13" s="148"/>
      <c r="K13" s="148"/>
      <c r="L13" s="148">
        <f>SUM(M13:R13)</f>
        <v>300</v>
      </c>
      <c r="M13" s="148"/>
      <c r="N13" s="148"/>
      <c r="O13" s="148">
        <v>300</v>
      </c>
      <c r="P13" s="148"/>
      <c r="Q13" s="148"/>
      <c r="R13" s="148"/>
      <c r="S13" s="148">
        <f t="shared" ref="S13:S30" si="4">H13+L13</f>
        <v>300</v>
      </c>
      <c r="T13" s="38"/>
      <c r="U13" s="38"/>
      <c r="V13" s="168"/>
      <c r="W13" s="168"/>
      <c r="X13" s="19"/>
    </row>
    <row r="14" spans="1:24" s="16" customFormat="1" ht="33" x14ac:dyDescent="0.2">
      <c r="A14" s="20">
        <v>2</v>
      </c>
      <c r="B14" s="460" t="s">
        <v>477</v>
      </c>
      <c r="C14" s="100" t="s">
        <v>209</v>
      </c>
      <c r="D14" s="157"/>
      <c r="E14" s="41"/>
      <c r="F14" s="148">
        <v>1</v>
      </c>
      <c r="G14" s="148"/>
      <c r="H14" s="148"/>
      <c r="I14" s="148"/>
      <c r="J14" s="148"/>
      <c r="K14" s="148"/>
      <c r="L14" s="148">
        <f t="shared" ref="L14:L15" si="5">SUM(M14:R14)</f>
        <v>300</v>
      </c>
      <c r="M14" s="148"/>
      <c r="N14" s="148"/>
      <c r="O14" s="148">
        <v>300</v>
      </c>
      <c r="P14" s="148"/>
      <c r="Q14" s="148"/>
      <c r="R14" s="148"/>
      <c r="S14" s="148">
        <f t="shared" si="4"/>
        <v>300</v>
      </c>
      <c r="T14" s="38" t="s">
        <v>481</v>
      </c>
      <c r="U14" s="38"/>
      <c r="V14" s="168"/>
      <c r="W14" s="168"/>
      <c r="X14" s="19"/>
    </row>
    <row r="15" spans="1:24" s="16" customFormat="1" ht="33" x14ac:dyDescent="0.2">
      <c r="A15" s="20">
        <v>3</v>
      </c>
      <c r="B15" s="460" t="s">
        <v>478</v>
      </c>
      <c r="C15" s="100" t="s">
        <v>209</v>
      </c>
      <c r="D15" s="157"/>
      <c r="E15" s="41"/>
      <c r="F15" s="148">
        <v>1</v>
      </c>
      <c r="G15" s="148"/>
      <c r="H15" s="148"/>
      <c r="I15" s="148"/>
      <c r="J15" s="148"/>
      <c r="K15" s="148"/>
      <c r="L15" s="148">
        <f t="shared" si="5"/>
        <v>300</v>
      </c>
      <c r="M15" s="148"/>
      <c r="N15" s="148"/>
      <c r="O15" s="148">
        <v>300</v>
      </c>
      <c r="P15" s="148"/>
      <c r="Q15" s="148"/>
      <c r="R15" s="148"/>
      <c r="S15" s="148">
        <f t="shared" si="4"/>
        <v>300</v>
      </c>
      <c r="T15" s="38" t="s">
        <v>481</v>
      </c>
      <c r="U15" s="38"/>
      <c r="V15" s="168"/>
      <c r="W15" s="168"/>
      <c r="X15" s="19"/>
    </row>
    <row r="16" spans="1:24" s="16" customFormat="1" ht="33" x14ac:dyDescent="0.2">
      <c r="A16" s="20">
        <v>4</v>
      </c>
      <c r="B16" s="461" t="s">
        <v>140</v>
      </c>
      <c r="C16" s="213" t="s">
        <v>210</v>
      </c>
      <c r="D16" s="157"/>
      <c r="E16" s="41"/>
      <c r="F16" s="148">
        <v>1</v>
      </c>
      <c r="G16" s="148"/>
      <c r="H16" s="148">
        <f t="shared" si="2"/>
        <v>0</v>
      </c>
      <c r="I16" s="148"/>
      <c r="J16" s="148"/>
      <c r="K16" s="148"/>
      <c r="L16" s="148">
        <f t="shared" ref="L16:L30" si="6">SUM(M16:R16)</f>
        <v>300</v>
      </c>
      <c r="M16" s="148"/>
      <c r="N16" s="148"/>
      <c r="O16" s="148">
        <v>300</v>
      </c>
      <c r="P16" s="148"/>
      <c r="Q16" s="148"/>
      <c r="R16" s="148"/>
      <c r="S16" s="148">
        <f t="shared" si="4"/>
        <v>300</v>
      </c>
      <c r="T16" s="38"/>
      <c r="U16" s="38"/>
      <c r="V16" s="168"/>
      <c r="W16" s="168"/>
      <c r="X16" s="19"/>
    </row>
    <row r="17" spans="1:25" s="16" customFormat="1" ht="33" x14ac:dyDescent="0.25">
      <c r="A17" s="20">
        <v>5</v>
      </c>
      <c r="B17" s="101" t="s">
        <v>312</v>
      </c>
      <c r="C17" s="100" t="s">
        <v>211</v>
      </c>
      <c r="D17" s="157"/>
      <c r="E17" s="41"/>
      <c r="F17" s="148">
        <v>1</v>
      </c>
      <c r="G17" s="148"/>
      <c r="H17" s="148">
        <f t="shared" si="2"/>
        <v>0</v>
      </c>
      <c r="I17" s="148"/>
      <c r="J17" s="148"/>
      <c r="K17" s="148"/>
      <c r="L17" s="148">
        <f t="shared" si="6"/>
        <v>300</v>
      </c>
      <c r="M17" s="148"/>
      <c r="N17" s="148"/>
      <c r="O17" s="148">
        <v>300</v>
      </c>
      <c r="P17" s="148"/>
      <c r="Q17" s="148"/>
      <c r="R17" s="148"/>
      <c r="S17" s="148">
        <f t="shared" si="4"/>
        <v>300</v>
      </c>
      <c r="T17" s="38"/>
      <c r="U17" s="38"/>
      <c r="V17" s="168"/>
      <c r="W17" s="168"/>
      <c r="X17" s="19"/>
    </row>
    <row r="18" spans="1:25" s="16" customFormat="1" ht="33" x14ac:dyDescent="0.25">
      <c r="A18" s="20">
        <v>6</v>
      </c>
      <c r="B18" s="101" t="s">
        <v>62</v>
      </c>
      <c r="C18" s="100" t="s">
        <v>211</v>
      </c>
      <c r="D18" s="157"/>
      <c r="E18" s="41"/>
      <c r="F18" s="148">
        <v>1</v>
      </c>
      <c r="G18" s="148"/>
      <c r="H18" s="148">
        <f t="shared" si="2"/>
        <v>0</v>
      </c>
      <c r="I18" s="148"/>
      <c r="J18" s="148"/>
      <c r="K18" s="148"/>
      <c r="L18" s="148">
        <f t="shared" si="6"/>
        <v>300</v>
      </c>
      <c r="M18" s="148"/>
      <c r="N18" s="148"/>
      <c r="O18" s="148">
        <v>300</v>
      </c>
      <c r="P18" s="148"/>
      <c r="Q18" s="148"/>
      <c r="R18" s="148"/>
      <c r="S18" s="148">
        <f t="shared" si="4"/>
        <v>300</v>
      </c>
      <c r="T18" s="38"/>
      <c r="U18" s="38"/>
      <c r="V18" s="168"/>
      <c r="W18" s="168"/>
      <c r="X18" s="19"/>
    </row>
    <row r="19" spans="1:25" s="16" customFormat="1" ht="66" x14ac:dyDescent="0.2">
      <c r="A19" s="20">
        <v>7</v>
      </c>
      <c r="B19" s="472" t="s">
        <v>479</v>
      </c>
      <c r="C19" s="214" t="s">
        <v>217</v>
      </c>
      <c r="D19" s="157"/>
      <c r="E19" s="41"/>
      <c r="F19" s="148">
        <v>1</v>
      </c>
      <c r="G19" s="148"/>
      <c r="H19" s="148">
        <f t="shared" ref="H19" si="7">SUM(I19:K19)</f>
        <v>0</v>
      </c>
      <c r="I19" s="148"/>
      <c r="J19" s="148"/>
      <c r="K19" s="148"/>
      <c r="L19" s="148">
        <f t="shared" ref="L19" si="8">SUM(M19:R19)</f>
        <v>300</v>
      </c>
      <c r="M19" s="148"/>
      <c r="N19" s="148"/>
      <c r="O19" s="148">
        <v>300</v>
      </c>
      <c r="P19" s="148"/>
      <c r="Q19" s="148"/>
      <c r="R19" s="148"/>
      <c r="S19" s="148">
        <f t="shared" si="4"/>
        <v>300</v>
      </c>
      <c r="T19" s="148"/>
      <c r="U19" s="38">
        <f t="shared" ref="U19" si="9">+G19*30%</f>
        <v>0</v>
      </c>
      <c r="V19" s="38"/>
      <c r="W19" s="168"/>
      <c r="X19" s="168"/>
      <c r="Y19" s="19"/>
    </row>
    <row r="20" spans="1:25" s="16" customFormat="1" ht="49.5" x14ac:dyDescent="0.2">
      <c r="A20" s="20">
        <v>8</v>
      </c>
      <c r="B20" s="460" t="s">
        <v>480</v>
      </c>
      <c r="C20" s="100" t="s">
        <v>218</v>
      </c>
      <c r="D20" s="157"/>
      <c r="E20" s="41"/>
      <c r="F20" s="148">
        <v>1</v>
      </c>
      <c r="G20" s="148"/>
      <c r="H20" s="148">
        <f t="shared" si="2"/>
        <v>0</v>
      </c>
      <c r="I20" s="148"/>
      <c r="J20" s="148"/>
      <c r="K20" s="148"/>
      <c r="L20" s="148">
        <f t="shared" si="6"/>
        <v>300</v>
      </c>
      <c r="M20" s="148"/>
      <c r="N20" s="148"/>
      <c r="O20" s="148">
        <v>300</v>
      </c>
      <c r="P20" s="148"/>
      <c r="Q20" s="148"/>
      <c r="R20" s="148"/>
      <c r="S20" s="148">
        <f t="shared" si="4"/>
        <v>300</v>
      </c>
      <c r="T20" s="38"/>
      <c r="U20" s="38"/>
      <c r="V20" s="168"/>
      <c r="W20" s="168"/>
      <c r="X20" s="19"/>
    </row>
    <row r="21" spans="1:25" s="16" customFormat="1" ht="49.5" x14ac:dyDescent="0.2">
      <c r="A21" s="20">
        <v>9</v>
      </c>
      <c r="B21" s="460" t="s">
        <v>129</v>
      </c>
      <c r="C21" s="100" t="s">
        <v>207</v>
      </c>
      <c r="D21" s="157"/>
      <c r="E21" s="41"/>
      <c r="F21" s="148">
        <v>1</v>
      </c>
      <c r="G21" s="148"/>
      <c r="H21" s="148">
        <f t="shared" si="2"/>
        <v>0</v>
      </c>
      <c r="I21" s="148"/>
      <c r="J21" s="148"/>
      <c r="K21" s="148"/>
      <c r="L21" s="148">
        <f t="shared" si="6"/>
        <v>300</v>
      </c>
      <c r="M21" s="148"/>
      <c r="N21" s="148"/>
      <c r="O21" s="148">
        <v>300</v>
      </c>
      <c r="P21" s="148"/>
      <c r="Q21" s="148"/>
      <c r="R21" s="148"/>
      <c r="S21" s="148">
        <f t="shared" si="4"/>
        <v>300</v>
      </c>
      <c r="T21" s="38"/>
      <c r="U21" s="38"/>
      <c r="V21" s="168"/>
      <c r="W21" s="168"/>
      <c r="X21" s="19"/>
    </row>
    <row r="22" spans="1:25" s="16" customFormat="1" ht="33" x14ac:dyDescent="0.2">
      <c r="A22" s="20">
        <v>10</v>
      </c>
      <c r="B22" s="460" t="s">
        <v>130</v>
      </c>
      <c r="C22" s="100" t="s">
        <v>225</v>
      </c>
      <c r="D22" s="157"/>
      <c r="E22" s="41"/>
      <c r="F22" s="148">
        <v>1</v>
      </c>
      <c r="G22" s="148">
        <v>0</v>
      </c>
      <c r="H22" s="148">
        <f t="shared" si="2"/>
        <v>0</v>
      </c>
      <c r="I22" s="148"/>
      <c r="J22" s="148"/>
      <c r="K22" s="148"/>
      <c r="L22" s="148">
        <f t="shared" si="6"/>
        <v>300</v>
      </c>
      <c r="M22" s="148"/>
      <c r="N22" s="148"/>
      <c r="O22" s="148">
        <v>300</v>
      </c>
      <c r="P22" s="148"/>
      <c r="Q22" s="148"/>
      <c r="R22" s="148"/>
      <c r="S22" s="148">
        <f t="shared" si="4"/>
        <v>300</v>
      </c>
      <c r="T22" s="38"/>
      <c r="U22" s="38"/>
      <c r="V22" s="168"/>
      <c r="W22" s="168"/>
      <c r="X22" s="19"/>
    </row>
    <row r="23" spans="1:25" s="16" customFormat="1" ht="33" x14ac:dyDescent="0.2">
      <c r="A23" s="20">
        <v>11</v>
      </c>
      <c r="B23" s="460" t="s">
        <v>131</v>
      </c>
      <c r="C23" s="100" t="s">
        <v>225</v>
      </c>
      <c r="D23" s="157"/>
      <c r="E23" s="41"/>
      <c r="F23" s="148">
        <v>1</v>
      </c>
      <c r="G23" s="148"/>
      <c r="H23" s="148">
        <f t="shared" si="2"/>
        <v>0</v>
      </c>
      <c r="I23" s="148"/>
      <c r="J23" s="148"/>
      <c r="K23" s="148"/>
      <c r="L23" s="148">
        <f t="shared" si="6"/>
        <v>300</v>
      </c>
      <c r="M23" s="148"/>
      <c r="N23" s="148"/>
      <c r="O23" s="148">
        <v>300</v>
      </c>
      <c r="P23" s="148"/>
      <c r="Q23" s="148"/>
      <c r="R23" s="148"/>
      <c r="S23" s="148">
        <f t="shared" si="4"/>
        <v>300</v>
      </c>
      <c r="T23" s="38"/>
      <c r="U23" s="38"/>
      <c r="V23" s="168"/>
      <c r="W23" s="168"/>
      <c r="X23" s="19"/>
    </row>
    <row r="24" spans="1:25" s="16" customFormat="1" ht="49.5" x14ac:dyDescent="0.2">
      <c r="A24" s="20">
        <v>12</v>
      </c>
      <c r="B24" s="460" t="s">
        <v>143</v>
      </c>
      <c r="C24" s="100" t="s">
        <v>225</v>
      </c>
      <c r="D24" s="157"/>
      <c r="E24" s="41"/>
      <c r="F24" s="148">
        <v>1</v>
      </c>
      <c r="G24" s="148"/>
      <c r="H24" s="148">
        <f t="shared" si="2"/>
        <v>0</v>
      </c>
      <c r="I24" s="148"/>
      <c r="J24" s="148"/>
      <c r="K24" s="148"/>
      <c r="L24" s="148">
        <f t="shared" si="6"/>
        <v>300</v>
      </c>
      <c r="M24" s="148"/>
      <c r="N24" s="148"/>
      <c r="O24" s="148">
        <v>300</v>
      </c>
      <c r="P24" s="148"/>
      <c r="Q24" s="148"/>
      <c r="R24" s="148"/>
      <c r="S24" s="148">
        <f t="shared" si="4"/>
        <v>300</v>
      </c>
      <c r="T24" s="38"/>
      <c r="U24" s="38"/>
      <c r="V24" s="168"/>
      <c r="W24" s="168"/>
      <c r="X24" s="19"/>
    </row>
    <row r="25" spans="1:25" s="16" customFormat="1" ht="33" x14ac:dyDescent="0.2">
      <c r="A25" s="20">
        <v>13</v>
      </c>
      <c r="B25" s="460" t="s">
        <v>44</v>
      </c>
      <c r="C25" s="100" t="s">
        <v>226</v>
      </c>
      <c r="D25" s="157"/>
      <c r="E25" s="41"/>
      <c r="F25" s="148">
        <v>1</v>
      </c>
      <c r="G25" s="148"/>
      <c r="H25" s="148">
        <f t="shared" si="2"/>
        <v>0</v>
      </c>
      <c r="I25" s="148"/>
      <c r="J25" s="148"/>
      <c r="K25" s="148"/>
      <c r="L25" s="148">
        <f t="shared" si="6"/>
        <v>300</v>
      </c>
      <c r="M25" s="148"/>
      <c r="N25" s="148"/>
      <c r="O25" s="148">
        <v>300</v>
      </c>
      <c r="P25" s="148"/>
      <c r="Q25" s="148"/>
      <c r="R25" s="148"/>
      <c r="S25" s="148">
        <f t="shared" si="4"/>
        <v>300</v>
      </c>
      <c r="T25" s="38"/>
      <c r="U25" s="38"/>
      <c r="V25" s="168"/>
      <c r="W25" s="168"/>
      <c r="X25" s="19"/>
    </row>
    <row r="26" spans="1:25" s="16" customFormat="1" ht="33" x14ac:dyDescent="0.2">
      <c r="A26" s="20">
        <v>14</v>
      </c>
      <c r="B26" s="460" t="s">
        <v>50</v>
      </c>
      <c r="C26" s="100" t="s">
        <v>226</v>
      </c>
      <c r="D26" s="157"/>
      <c r="E26" s="41"/>
      <c r="F26" s="148">
        <v>1</v>
      </c>
      <c r="G26" s="148"/>
      <c r="H26" s="148">
        <f t="shared" si="2"/>
        <v>0</v>
      </c>
      <c r="I26" s="148"/>
      <c r="J26" s="148"/>
      <c r="K26" s="148"/>
      <c r="L26" s="148">
        <f t="shared" si="6"/>
        <v>300</v>
      </c>
      <c r="M26" s="148"/>
      <c r="N26" s="148"/>
      <c r="O26" s="148">
        <v>300</v>
      </c>
      <c r="P26" s="148"/>
      <c r="Q26" s="148"/>
      <c r="R26" s="148"/>
      <c r="S26" s="148">
        <f t="shared" si="4"/>
        <v>300</v>
      </c>
      <c r="T26" s="38"/>
      <c r="U26" s="38"/>
      <c r="V26" s="168"/>
      <c r="W26" s="168"/>
      <c r="X26" s="19"/>
    </row>
    <row r="27" spans="1:25" s="16" customFormat="1" ht="33" x14ac:dyDescent="0.2">
      <c r="A27" s="20">
        <v>15</v>
      </c>
      <c r="B27" s="460" t="s">
        <v>51</v>
      </c>
      <c r="C27" s="214" t="s">
        <v>227</v>
      </c>
      <c r="D27" s="157"/>
      <c r="E27" s="41"/>
      <c r="F27" s="148">
        <v>1</v>
      </c>
      <c r="G27" s="148"/>
      <c r="H27" s="148">
        <f t="shared" si="2"/>
        <v>0</v>
      </c>
      <c r="I27" s="148"/>
      <c r="J27" s="148"/>
      <c r="K27" s="148"/>
      <c r="L27" s="148">
        <f t="shared" si="6"/>
        <v>300</v>
      </c>
      <c r="M27" s="148"/>
      <c r="N27" s="148"/>
      <c r="O27" s="148">
        <v>300</v>
      </c>
      <c r="P27" s="148"/>
      <c r="Q27" s="148"/>
      <c r="R27" s="148"/>
      <c r="S27" s="148">
        <f t="shared" si="4"/>
        <v>300</v>
      </c>
      <c r="T27" s="38"/>
      <c r="U27" s="38"/>
      <c r="V27" s="168"/>
      <c r="W27" s="168"/>
      <c r="X27" s="19"/>
    </row>
    <row r="28" spans="1:25" s="16" customFormat="1" ht="33" x14ac:dyDescent="0.2">
      <c r="A28" s="20">
        <v>16</v>
      </c>
      <c r="B28" s="102" t="s">
        <v>45</v>
      </c>
      <c r="C28" s="214" t="s">
        <v>227</v>
      </c>
      <c r="D28" s="157"/>
      <c r="E28" s="41"/>
      <c r="F28" s="148">
        <v>1</v>
      </c>
      <c r="G28" s="148"/>
      <c r="H28" s="148">
        <f t="shared" si="2"/>
        <v>0</v>
      </c>
      <c r="I28" s="148"/>
      <c r="J28" s="148"/>
      <c r="K28" s="148"/>
      <c r="L28" s="148">
        <f t="shared" si="6"/>
        <v>300</v>
      </c>
      <c r="M28" s="148"/>
      <c r="N28" s="148"/>
      <c r="O28" s="148">
        <v>300</v>
      </c>
      <c r="P28" s="148"/>
      <c r="Q28" s="148"/>
      <c r="R28" s="148"/>
      <c r="S28" s="148">
        <f t="shared" si="4"/>
        <v>300</v>
      </c>
      <c r="T28" s="38"/>
      <c r="U28" s="38"/>
      <c r="V28" s="168"/>
      <c r="W28" s="168"/>
      <c r="X28" s="19"/>
    </row>
    <row r="29" spans="1:25" s="16" customFormat="1" ht="33" x14ac:dyDescent="0.2">
      <c r="A29" s="20">
        <v>17</v>
      </c>
      <c r="B29" s="102" t="s">
        <v>52</v>
      </c>
      <c r="C29" s="214" t="s">
        <v>227</v>
      </c>
      <c r="D29" s="157"/>
      <c r="E29" s="41"/>
      <c r="F29" s="148">
        <v>1</v>
      </c>
      <c r="G29" s="148"/>
      <c r="H29" s="148">
        <f t="shared" si="2"/>
        <v>0</v>
      </c>
      <c r="I29" s="148"/>
      <c r="J29" s="148"/>
      <c r="K29" s="148"/>
      <c r="L29" s="148">
        <f t="shared" si="6"/>
        <v>300</v>
      </c>
      <c r="M29" s="148"/>
      <c r="N29" s="148"/>
      <c r="O29" s="148">
        <v>300</v>
      </c>
      <c r="P29" s="148"/>
      <c r="Q29" s="148"/>
      <c r="R29" s="148"/>
      <c r="S29" s="148">
        <f t="shared" si="4"/>
        <v>300</v>
      </c>
      <c r="T29" s="38"/>
      <c r="U29" s="38"/>
      <c r="V29" s="168"/>
      <c r="W29" s="168"/>
      <c r="X29" s="19"/>
    </row>
    <row r="30" spans="1:25" s="16" customFormat="1" ht="33" x14ac:dyDescent="0.2">
      <c r="A30" s="20">
        <v>18</v>
      </c>
      <c r="B30" s="102" t="s">
        <v>46</v>
      </c>
      <c r="C30" s="214" t="s">
        <v>228</v>
      </c>
      <c r="D30" s="157"/>
      <c r="E30" s="41"/>
      <c r="F30" s="148">
        <v>1</v>
      </c>
      <c r="G30" s="148"/>
      <c r="H30" s="148">
        <f t="shared" si="2"/>
        <v>0</v>
      </c>
      <c r="I30" s="148"/>
      <c r="J30" s="148"/>
      <c r="K30" s="148"/>
      <c r="L30" s="148">
        <f t="shared" si="6"/>
        <v>300</v>
      </c>
      <c r="M30" s="148"/>
      <c r="N30" s="148"/>
      <c r="O30" s="148">
        <v>300</v>
      </c>
      <c r="P30" s="148"/>
      <c r="Q30" s="148"/>
      <c r="R30" s="148"/>
      <c r="S30" s="148">
        <f t="shared" si="4"/>
        <v>300</v>
      </c>
      <c r="T30" s="38"/>
      <c r="U30" s="38"/>
      <c r="V30" s="168"/>
      <c r="W30" s="168"/>
      <c r="X30" s="19"/>
    </row>
    <row r="31" spans="1:25" s="155" customFormat="1" ht="28.5" hidden="1" customHeight="1" x14ac:dyDescent="0.25">
      <c r="A31" s="153" t="s">
        <v>92</v>
      </c>
      <c r="B31" s="115" t="s">
        <v>96</v>
      </c>
      <c r="C31" s="115"/>
      <c r="D31" s="158"/>
      <c r="E31" s="44"/>
      <c r="F31" s="154">
        <f>+F32+F34</f>
        <v>2</v>
      </c>
      <c r="G31" s="154">
        <f>+G32+G34</f>
        <v>18000</v>
      </c>
      <c r="H31" s="154">
        <v>12000</v>
      </c>
      <c r="I31" s="154"/>
      <c r="J31" s="154"/>
      <c r="K31" s="154"/>
      <c r="L31" s="154"/>
      <c r="M31" s="154"/>
      <c r="N31" s="154"/>
      <c r="O31" s="154"/>
      <c r="P31" s="154"/>
      <c r="Q31" s="154"/>
      <c r="R31" s="154"/>
      <c r="S31" s="154"/>
      <c r="T31" s="154"/>
      <c r="U31" s="154"/>
      <c r="V31" s="173"/>
      <c r="W31" s="173"/>
      <c r="X31" s="46" t="e">
        <f>+#REF!+#REF!+#REF!+#REF!</f>
        <v>#REF!</v>
      </c>
      <c r="Y31" s="46">
        <f>+G31*70%</f>
        <v>12600</v>
      </c>
    </row>
    <row r="32" spans="1:25" s="16" customFormat="1" ht="21" hidden="1" customHeight="1" x14ac:dyDescent="0.2">
      <c r="A32" s="11" t="s">
        <v>76</v>
      </c>
      <c r="B32" s="13" t="s">
        <v>68</v>
      </c>
      <c r="C32" s="13"/>
      <c r="D32" s="158"/>
      <c r="E32" s="44"/>
      <c r="F32" s="148">
        <f>+F33</f>
        <v>0</v>
      </c>
      <c r="G32" s="148">
        <f>+G33</f>
        <v>0</v>
      </c>
      <c r="H32" s="148"/>
      <c r="I32" s="148"/>
      <c r="J32" s="148"/>
      <c r="K32" s="148"/>
      <c r="L32" s="148"/>
      <c r="M32" s="148"/>
      <c r="N32" s="148"/>
      <c r="O32" s="148"/>
      <c r="P32" s="148"/>
      <c r="Q32" s="148"/>
      <c r="R32" s="148"/>
      <c r="S32" s="148"/>
      <c r="T32" s="148"/>
      <c r="U32" s="148"/>
      <c r="V32" s="169"/>
      <c r="W32" s="169"/>
      <c r="X32" s="46" t="e">
        <f>+#REF!+#REF!+#REF!+#REF!</f>
        <v>#REF!</v>
      </c>
      <c r="Y32" s="46">
        <f>+G32*70%</f>
        <v>0</v>
      </c>
    </row>
    <row r="33" spans="1:25" s="32" customFormat="1" ht="67.5" hidden="1" customHeight="1" x14ac:dyDescent="0.25">
      <c r="A33" s="20"/>
      <c r="B33" s="21"/>
      <c r="C33" s="21"/>
      <c r="D33" s="158"/>
      <c r="E33" s="43"/>
      <c r="F33" s="122"/>
      <c r="G33" s="156"/>
      <c r="H33" s="109"/>
      <c r="I33" s="109"/>
      <c r="J33" s="109"/>
      <c r="K33" s="109"/>
      <c r="L33" s="109"/>
      <c r="M33" s="109"/>
      <c r="N33" s="109"/>
      <c r="O33" s="109"/>
      <c r="P33" s="109"/>
      <c r="Q33" s="109"/>
      <c r="R33" s="109"/>
      <c r="S33" s="109"/>
      <c r="T33" s="39"/>
      <c r="U33" s="39"/>
      <c r="V33" s="107"/>
      <c r="W33" s="107"/>
      <c r="X33" s="46"/>
      <c r="Y33" s="46"/>
    </row>
    <row r="34" spans="1:25" s="86" customFormat="1" ht="26.25" hidden="1" customHeight="1" x14ac:dyDescent="0.25">
      <c r="A34" s="29" t="s">
        <v>74</v>
      </c>
      <c r="B34" s="148" t="s">
        <v>69</v>
      </c>
      <c r="C34" s="148"/>
      <c r="D34" s="158">
        <v>0</v>
      </c>
      <c r="E34" s="44"/>
      <c r="F34" s="148">
        <f>F35+F36</f>
        <v>2</v>
      </c>
      <c r="G34" s="148">
        <f>G35+G36</f>
        <v>18000</v>
      </c>
      <c r="H34" s="148">
        <v>3600</v>
      </c>
      <c r="I34" s="148"/>
      <c r="J34" s="148"/>
      <c r="K34" s="148"/>
      <c r="L34" s="148"/>
      <c r="M34" s="148"/>
      <c r="N34" s="148"/>
      <c r="O34" s="148"/>
      <c r="P34" s="148"/>
      <c r="Q34" s="148"/>
      <c r="R34" s="148"/>
      <c r="S34" s="148"/>
      <c r="T34" s="148">
        <f>+T35</f>
        <v>0</v>
      </c>
      <c r="U34" s="148"/>
      <c r="V34" s="169"/>
      <c r="W34" s="169"/>
      <c r="X34" s="46" t="e">
        <f>+#REF!+#REF!+#REF!+#REF!</f>
        <v>#REF!</v>
      </c>
      <c r="Y34" s="46">
        <f>+G34*70%</f>
        <v>12600</v>
      </c>
    </row>
    <row r="35" spans="1:25" s="32" customFormat="1" ht="47.25" hidden="1" x14ac:dyDescent="0.25">
      <c r="A35" s="20">
        <v>1</v>
      </c>
      <c r="B35" s="276" t="s">
        <v>87</v>
      </c>
      <c r="C35" s="276"/>
      <c r="D35" s="158"/>
      <c r="E35" s="43">
        <v>2023</v>
      </c>
      <c r="F35" s="122">
        <v>1</v>
      </c>
      <c r="G35" s="156">
        <v>6000</v>
      </c>
      <c r="H35" s="109">
        <v>2000</v>
      </c>
      <c r="I35" s="109"/>
      <c r="J35" s="109"/>
      <c r="K35" s="109"/>
      <c r="L35" s="109"/>
      <c r="M35" s="109"/>
      <c r="N35" s="109"/>
      <c r="O35" s="109"/>
      <c r="P35" s="109"/>
      <c r="Q35" s="109"/>
      <c r="R35" s="109"/>
      <c r="S35" s="109"/>
      <c r="T35" s="39"/>
      <c r="U35" s="39"/>
      <c r="V35" s="107"/>
      <c r="W35" s="107"/>
      <c r="X35" s="46" t="e">
        <f>+#REF!+#REF!+#REF!+#REF!</f>
        <v>#REF!</v>
      </c>
      <c r="Y35" s="46">
        <f>+G35*70%</f>
        <v>4200</v>
      </c>
    </row>
    <row r="36" spans="1:25" s="32" customFormat="1" ht="38.25" hidden="1" customHeight="1" x14ac:dyDescent="0.25">
      <c r="A36" s="277">
        <v>2</v>
      </c>
      <c r="B36" s="276" t="s">
        <v>66</v>
      </c>
      <c r="C36" s="276"/>
      <c r="D36" s="158"/>
      <c r="E36" s="43" t="s">
        <v>88</v>
      </c>
      <c r="F36" s="122">
        <v>1</v>
      </c>
      <c r="G36" s="156">
        <v>12000</v>
      </c>
      <c r="H36" s="109">
        <v>1600</v>
      </c>
      <c r="I36" s="109"/>
      <c r="J36" s="109"/>
      <c r="K36" s="109"/>
      <c r="L36" s="109"/>
      <c r="M36" s="109"/>
      <c r="N36" s="109"/>
      <c r="O36" s="109"/>
      <c r="P36" s="109"/>
      <c r="Q36" s="109"/>
      <c r="R36" s="109"/>
      <c r="S36" s="109"/>
      <c r="T36" s="39"/>
      <c r="U36" s="39"/>
      <c r="V36" s="107"/>
      <c r="W36" s="107"/>
      <c r="X36" s="46" t="e">
        <f>+#REF!+#REF!+#REF!+#REF!</f>
        <v>#REF!</v>
      </c>
      <c r="Y36" s="46">
        <f>+G36*70%</f>
        <v>8400</v>
      </c>
    </row>
  </sheetData>
  <mergeCells count="31">
    <mergeCell ref="T5:T9"/>
    <mergeCell ref="U5:U9"/>
    <mergeCell ref="V5:V9"/>
    <mergeCell ref="W5:W9"/>
    <mergeCell ref="S5:S9"/>
    <mergeCell ref="F5:F9"/>
    <mergeCell ref="G5:G9"/>
    <mergeCell ref="H5:H9"/>
    <mergeCell ref="I5:K6"/>
    <mergeCell ref="L5:R6"/>
    <mergeCell ref="N8:N9"/>
    <mergeCell ref="O8:O9"/>
    <mergeCell ref="P8:P9"/>
    <mergeCell ref="Q8:Q9"/>
    <mergeCell ref="I7:I9"/>
    <mergeCell ref="J7:J9"/>
    <mergeCell ref="K7:K9"/>
    <mergeCell ref="L7:L9"/>
    <mergeCell ref="M7:R7"/>
    <mergeCell ref="M8:M9"/>
    <mergeCell ref="R8:R9"/>
    <mergeCell ref="R1:T1"/>
    <mergeCell ref="A2:T2"/>
    <mergeCell ref="A3:T3"/>
    <mergeCell ref="A4:G4"/>
    <mergeCell ref="R4:T4"/>
    <mergeCell ref="A5:A9"/>
    <mergeCell ref="B5:B9"/>
    <mergeCell ref="C5:C9"/>
    <mergeCell ref="D5:D9"/>
    <mergeCell ref="E5:E9"/>
  </mergeCells>
  <pageMargins left="0.43307086614173229" right="0.35433070866141736" top="0.74803149606299213" bottom="0.74803149606299213" header="0.31496062992125984" footer="0.31496062992125984"/>
  <pageSetup paperSize="9" scale="80" fitToHeight="0" orientation="landscape" r:id="rId1"/>
  <headerFooter>
    <oddFooter>&amp;A&amp;RPage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7"/>
  <sheetViews>
    <sheetView workbookViewId="0">
      <selection activeCell="C12" sqref="C12"/>
    </sheetView>
  </sheetViews>
  <sheetFormatPr defaultRowHeight="18.75" x14ac:dyDescent="0.3"/>
  <cols>
    <col min="1" max="1" width="4.140625" style="258" customWidth="1"/>
    <col min="2" max="2" width="34" style="8" customWidth="1"/>
    <col min="3" max="3" width="11.85546875" style="422" customWidth="1"/>
    <col min="4" max="4" width="5.42578125" style="259" customWidth="1"/>
    <col min="5" max="5" width="5.140625" style="9" customWidth="1"/>
    <col min="6" max="6" width="10" style="1" customWidth="1"/>
    <col min="7" max="7" width="9.85546875" style="1" customWidth="1"/>
    <col min="8" max="8" width="13" style="1" hidden="1" customWidth="1"/>
    <col min="9" max="9" width="10.28515625" style="45" hidden="1" customWidth="1"/>
    <col min="10" max="10" width="9.7109375" style="45" customWidth="1"/>
    <col min="11" max="11" width="10.28515625" style="45" customWidth="1"/>
    <col min="12" max="13" width="10.28515625" style="45" hidden="1" customWidth="1"/>
    <col min="14" max="14" width="9.140625" style="45" customWidth="1"/>
    <col min="15" max="16" width="9" style="45" customWidth="1"/>
    <col min="17" max="17" width="10" style="1" customWidth="1"/>
    <col min="18" max="21" width="10.28515625" style="1" customWidth="1"/>
    <col min="22" max="22" width="11.7109375" style="1" customWidth="1"/>
    <col min="23" max="23" width="12.85546875" style="260" customWidth="1"/>
    <col min="24" max="24" width="17" style="260" customWidth="1"/>
    <col min="25" max="25" width="23.85546875" style="10" customWidth="1"/>
    <col min="26" max="249" width="9.140625" style="10"/>
    <col min="250" max="250" width="4.140625" style="10" customWidth="1"/>
    <col min="251" max="251" width="34" style="10" customWidth="1"/>
    <col min="252" max="252" width="11.140625" style="10" customWidth="1"/>
    <col min="253" max="253" width="5.42578125" style="10" customWidth="1"/>
    <col min="254" max="254" width="5.140625" style="10" customWidth="1"/>
    <col min="255" max="255" width="10" style="10" customWidth="1"/>
    <col min="256" max="256" width="9.85546875" style="10" customWidth="1"/>
    <col min="257" max="257" width="13" style="10" customWidth="1"/>
    <col min="258" max="271" width="0" style="10" hidden="1" customWidth="1"/>
    <col min="272" max="278" width="10.28515625" style="10" customWidth="1"/>
    <col min="279" max="279" width="24.28515625" style="10" customWidth="1"/>
    <col min="280" max="280" width="17" style="10" customWidth="1"/>
    <col min="281" max="281" width="23.85546875" style="10" customWidth="1"/>
    <col min="282" max="505" width="9.140625" style="10"/>
    <col min="506" max="506" width="4.140625" style="10" customWidth="1"/>
    <col min="507" max="507" width="34" style="10" customWidth="1"/>
    <col min="508" max="508" width="11.140625" style="10" customWidth="1"/>
    <col min="509" max="509" width="5.42578125" style="10" customWidth="1"/>
    <col min="510" max="510" width="5.140625" style="10" customWidth="1"/>
    <col min="511" max="511" width="10" style="10" customWidth="1"/>
    <col min="512" max="512" width="9.85546875" style="10" customWidth="1"/>
    <col min="513" max="513" width="13" style="10" customWidth="1"/>
    <col min="514" max="527" width="0" style="10" hidden="1" customWidth="1"/>
    <col min="528" max="534" width="10.28515625" style="10" customWidth="1"/>
    <col min="535" max="535" width="24.28515625" style="10" customWidth="1"/>
    <col min="536" max="536" width="17" style="10" customWidth="1"/>
    <col min="537" max="537" width="23.85546875" style="10" customWidth="1"/>
    <col min="538" max="761" width="9.140625" style="10"/>
    <col min="762" max="762" width="4.140625" style="10" customWidth="1"/>
    <col min="763" max="763" width="34" style="10" customWidth="1"/>
    <col min="764" max="764" width="11.140625" style="10" customWidth="1"/>
    <col min="765" max="765" width="5.42578125" style="10" customWidth="1"/>
    <col min="766" max="766" width="5.140625" style="10" customWidth="1"/>
    <col min="767" max="767" width="10" style="10" customWidth="1"/>
    <col min="768" max="768" width="9.85546875" style="10" customWidth="1"/>
    <col min="769" max="769" width="13" style="10" customWidth="1"/>
    <col min="770" max="783" width="0" style="10" hidden="1" customWidth="1"/>
    <col min="784" max="790" width="10.28515625" style="10" customWidth="1"/>
    <col min="791" max="791" width="24.28515625" style="10" customWidth="1"/>
    <col min="792" max="792" width="17" style="10" customWidth="1"/>
    <col min="793" max="793" width="23.85546875" style="10" customWidth="1"/>
    <col min="794" max="1017" width="9.140625" style="10"/>
    <col min="1018" max="1018" width="4.140625" style="10" customWidth="1"/>
    <col min="1019" max="1019" width="34" style="10" customWidth="1"/>
    <col min="1020" max="1020" width="11.140625" style="10" customWidth="1"/>
    <col min="1021" max="1021" width="5.42578125" style="10" customWidth="1"/>
    <col min="1022" max="1022" width="5.140625" style="10" customWidth="1"/>
    <col min="1023" max="1023" width="10" style="10" customWidth="1"/>
    <col min="1024" max="1024" width="9.85546875" style="10" customWidth="1"/>
    <col min="1025" max="1025" width="13" style="10" customWidth="1"/>
    <col min="1026" max="1039" width="0" style="10" hidden="1" customWidth="1"/>
    <col min="1040" max="1046" width="10.28515625" style="10" customWidth="1"/>
    <col min="1047" max="1047" width="24.28515625" style="10" customWidth="1"/>
    <col min="1048" max="1048" width="17" style="10" customWidth="1"/>
    <col min="1049" max="1049" width="23.85546875" style="10" customWidth="1"/>
    <col min="1050" max="1273" width="9.140625" style="10"/>
    <col min="1274" max="1274" width="4.140625" style="10" customWidth="1"/>
    <col min="1275" max="1275" width="34" style="10" customWidth="1"/>
    <col min="1276" max="1276" width="11.140625" style="10" customWidth="1"/>
    <col min="1277" max="1277" width="5.42578125" style="10" customWidth="1"/>
    <col min="1278" max="1278" width="5.140625" style="10" customWidth="1"/>
    <col min="1279" max="1279" width="10" style="10" customWidth="1"/>
    <col min="1280" max="1280" width="9.85546875" style="10" customWidth="1"/>
    <col min="1281" max="1281" width="13" style="10" customWidth="1"/>
    <col min="1282" max="1295" width="0" style="10" hidden="1" customWidth="1"/>
    <col min="1296" max="1302" width="10.28515625" style="10" customWidth="1"/>
    <col min="1303" max="1303" width="24.28515625" style="10" customWidth="1"/>
    <col min="1304" max="1304" width="17" style="10" customWidth="1"/>
    <col min="1305" max="1305" width="23.85546875" style="10" customWidth="1"/>
    <col min="1306" max="1529" width="9.140625" style="10"/>
    <col min="1530" max="1530" width="4.140625" style="10" customWidth="1"/>
    <col min="1531" max="1531" width="34" style="10" customWidth="1"/>
    <col min="1532" max="1532" width="11.140625" style="10" customWidth="1"/>
    <col min="1533" max="1533" width="5.42578125" style="10" customWidth="1"/>
    <col min="1534" max="1534" width="5.140625" style="10" customWidth="1"/>
    <col min="1535" max="1535" width="10" style="10" customWidth="1"/>
    <col min="1536" max="1536" width="9.85546875" style="10" customWidth="1"/>
    <col min="1537" max="1537" width="13" style="10" customWidth="1"/>
    <col min="1538" max="1551" width="0" style="10" hidden="1" customWidth="1"/>
    <col min="1552" max="1558" width="10.28515625" style="10" customWidth="1"/>
    <col min="1559" max="1559" width="24.28515625" style="10" customWidth="1"/>
    <col min="1560" max="1560" width="17" style="10" customWidth="1"/>
    <col min="1561" max="1561" width="23.85546875" style="10" customWidth="1"/>
    <col min="1562" max="1785" width="9.140625" style="10"/>
    <col min="1786" max="1786" width="4.140625" style="10" customWidth="1"/>
    <col min="1787" max="1787" width="34" style="10" customWidth="1"/>
    <col min="1788" max="1788" width="11.140625" style="10" customWidth="1"/>
    <col min="1789" max="1789" width="5.42578125" style="10" customWidth="1"/>
    <col min="1790" max="1790" width="5.140625" style="10" customWidth="1"/>
    <col min="1791" max="1791" width="10" style="10" customWidth="1"/>
    <col min="1792" max="1792" width="9.85546875" style="10" customWidth="1"/>
    <col min="1793" max="1793" width="13" style="10" customWidth="1"/>
    <col min="1794" max="1807" width="0" style="10" hidden="1" customWidth="1"/>
    <col min="1808" max="1814" width="10.28515625" style="10" customWidth="1"/>
    <col min="1815" max="1815" width="24.28515625" style="10" customWidth="1"/>
    <col min="1816" max="1816" width="17" style="10" customWidth="1"/>
    <col min="1817" max="1817" width="23.85546875" style="10" customWidth="1"/>
    <col min="1818" max="2041" width="9.140625" style="10"/>
    <col min="2042" max="2042" width="4.140625" style="10" customWidth="1"/>
    <col min="2043" max="2043" width="34" style="10" customWidth="1"/>
    <col min="2044" max="2044" width="11.140625" style="10" customWidth="1"/>
    <col min="2045" max="2045" width="5.42578125" style="10" customWidth="1"/>
    <col min="2046" max="2046" width="5.140625" style="10" customWidth="1"/>
    <col min="2047" max="2047" width="10" style="10" customWidth="1"/>
    <col min="2048" max="2048" width="9.85546875" style="10" customWidth="1"/>
    <col min="2049" max="2049" width="13" style="10" customWidth="1"/>
    <col min="2050" max="2063" width="0" style="10" hidden="1" customWidth="1"/>
    <col min="2064" max="2070" width="10.28515625" style="10" customWidth="1"/>
    <col min="2071" max="2071" width="24.28515625" style="10" customWidth="1"/>
    <col min="2072" max="2072" width="17" style="10" customWidth="1"/>
    <col min="2073" max="2073" width="23.85546875" style="10" customWidth="1"/>
    <col min="2074" max="2297" width="9.140625" style="10"/>
    <col min="2298" max="2298" width="4.140625" style="10" customWidth="1"/>
    <col min="2299" max="2299" width="34" style="10" customWidth="1"/>
    <col min="2300" max="2300" width="11.140625" style="10" customWidth="1"/>
    <col min="2301" max="2301" width="5.42578125" style="10" customWidth="1"/>
    <col min="2302" max="2302" width="5.140625" style="10" customWidth="1"/>
    <col min="2303" max="2303" width="10" style="10" customWidth="1"/>
    <col min="2304" max="2304" width="9.85546875" style="10" customWidth="1"/>
    <col min="2305" max="2305" width="13" style="10" customWidth="1"/>
    <col min="2306" max="2319" width="0" style="10" hidden="1" customWidth="1"/>
    <col min="2320" max="2326" width="10.28515625" style="10" customWidth="1"/>
    <col min="2327" max="2327" width="24.28515625" style="10" customWidth="1"/>
    <col min="2328" max="2328" width="17" style="10" customWidth="1"/>
    <col min="2329" max="2329" width="23.85546875" style="10" customWidth="1"/>
    <col min="2330" max="2553" width="9.140625" style="10"/>
    <col min="2554" max="2554" width="4.140625" style="10" customWidth="1"/>
    <col min="2555" max="2555" width="34" style="10" customWidth="1"/>
    <col min="2556" max="2556" width="11.140625" style="10" customWidth="1"/>
    <col min="2557" max="2557" width="5.42578125" style="10" customWidth="1"/>
    <col min="2558" max="2558" width="5.140625" style="10" customWidth="1"/>
    <col min="2559" max="2559" width="10" style="10" customWidth="1"/>
    <col min="2560" max="2560" width="9.85546875" style="10" customWidth="1"/>
    <col min="2561" max="2561" width="13" style="10" customWidth="1"/>
    <col min="2562" max="2575" width="0" style="10" hidden="1" customWidth="1"/>
    <col min="2576" max="2582" width="10.28515625" style="10" customWidth="1"/>
    <col min="2583" max="2583" width="24.28515625" style="10" customWidth="1"/>
    <col min="2584" max="2584" width="17" style="10" customWidth="1"/>
    <col min="2585" max="2585" width="23.85546875" style="10" customWidth="1"/>
    <col min="2586" max="2809" width="9.140625" style="10"/>
    <col min="2810" max="2810" width="4.140625" style="10" customWidth="1"/>
    <col min="2811" max="2811" width="34" style="10" customWidth="1"/>
    <col min="2812" max="2812" width="11.140625" style="10" customWidth="1"/>
    <col min="2813" max="2813" width="5.42578125" style="10" customWidth="1"/>
    <col min="2814" max="2814" width="5.140625" style="10" customWidth="1"/>
    <col min="2815" max="2815" width="10" style="10" customWidth="1"/>
    <col min="2816" max="2816" width="9.85546875" style="10" customWidth="1"/>
    <col min="2817" max="2817" width="13" style="10" customWidth="1"/>
    <col min="2818" max="2831" width="0" style="10" hidden="1" customWidth="1"/>
    <col min="2832" max="2838" width="10.28515625" style="10" customWidth="1"/>
    <col min="2839" max="2839" width="24.28515625" style="10" customWidth="1"/>
    <col min="2840" max="2840" width="17" style="10" customWidth="1"/>
    <col min="2841" max="2841" width="23.85546875" style="10" customWidth="1"/>
    <col min="2842" max="3065" width="9.140625" style="10"/>
    <col min="3066" max="3066" width="4.140625" style="10" customWidth="1"/>
    <col min="3067" max="3067" width="34" style="10" customWidth="1"/>
    <col min="3068" max="3068" width="11.140625" style="10" customWidth="1"/>
    <col min="3069" max="3069" width="5.42578125" style="10" customWidth="1"/>
    <col min="3070" max="3070" width="5.140625" style="10" customWidth="1"/>
    <col min="3071" max="3071" width="10" style="10" customWidth="1"/>
    <col min="3072" max="3072" width="9.85546875" style="10" customWidth="1"/>
    <col min="3073" max="3073" width="13" style="10" customWidth="1"/>
    <col min="3074" max="3087" width="0" style="10" hidden="1" customWidth="1"/>
    <col min="3088" max="3094" width="10.28515625" style="10" customWidth="1"/>
    <col min="3095" max="3095" width="24.28515625" style="10" customWidth="1"/>
    <col min="3096" max="3096" width="17" style="10" customWidth="1"/>
    <col min="3097" max="3097" width="23.85546875" style="10" customWidth="1"/>
    <col min="3098" max="3321" width="9.140625" style="10"/>
    <col min="3322" max="3322" width="4.140625" style="10" customWidth="1"/>
    <col min="3323" max="3323" width="34" style="10" customWidth="1"/>
    <col min="3324" max="3324" width="11.140625" style="10" customWidth="1"/>
    <col min="3325" max="3325" width="5.42578125" style="10" customWidth="1"/>
    <col min="3326" max="3326" width="5.140625" style="10" customWidth="1"/>
    <col min="3327" max="3327" width="10" style="10" customWidth="1"/>
    <col min="3328" max="3328" width="9.85546875" style="10" customWidth="1"/>
    <col min="3329" max="3329" width="13" style="10" customWidth="1"/>
    <col min="3330" max="3343" width="0" style="10" hidden="1" customWidth="1"/>
    <col min="3344" max="3350" width="10.28515625" style="10" customWidth="1"/>
    <col min="3351" max="3351" width="24.28515625" style="10" customWidth="1"/>
    <col min="3352" max="3352" width="17" style="10" customWidth="1"/>
    <col min="3353" max="3353" width="23.85546875" style="10" customWidth="1"/>
    <col min="3354" max="3577" width="9.140625" style="10"/>
    <col min="3578" max="3578" width="4.140625" style="10" customWidth="1"/>
    <col min="3579" max="3579" width="34" style="10" customWidth="1"/>
    <col min="3580" max="3580" width="11.140625" style="10" customWidth="1"/>
    <col min="3581" max="3581" width="5.42578125" style="10" customWidth="1"/>
    <col min="3582" max="3582" width="5.140625" style="10" customWidth="1"/>
    <col min="3583" max="3583" width="10" style="10" customWidth="1"/>
    <col min="3584" max="3584" width="9.85546875" style="10" customWidth="1"/>
    <col min="3585" max="3585" width="13" style="10" customWidth="1"/>
    <col min="3586" max="3599" width="0" style="10" hidden="1" customWidth="1"/>
    <col min="3600" max="3606" width="10.28515625" style="10" customWidth="1"/>
    <col min="3607" max="3607" width="24.28515625" style="10" customWidth="1"/>
    <col min="3608" max="3608" width="17" style="10" customWidth="1"/>
    <col min="3609" max="3609" width="23.85546875" style="10" customWidth="1"/>
    <col min="3610" max="3833" width="9.140625" style="10"/>
    <col min="3834" max="3834" width="4.140625" style="10" customWidth="1"/>
    <col min="3835" max="3835" width="34" style="10" customWidth="1"/>
    <col min="3836" max="3836" width="11.140625" style="10" customWidth="1"/>
    <col min="3837" max="3837" width="5.42578125" style="10" customWidth="1"/>
    <col min="3838" max="3838" width="5.140625" style="10" customWidth="1"/>
    <col min="3839" max="3839" width="10" style="10" customWidth="1"/>
    <col min="3840" max="3840" width="9.85546875" style="10" customWidth="1"/>
    <col min="3841" max="3841" width="13" style="10" customWidth="1"/>
    <col min="3842" max="3855" width="0" style="10" hidden="1" customWidth="1"/>
    <col min="3856" max="3862" width="10.28515625" style="10" customWidth="1"/>
    <col min="3863" max="3863" width="24.28515625" style="10" customWidth="1"/>
    <col min="3864" max="3864" width="17" style="10" customWidth="1"/>
    <col min="3865" max="3865" width="23.85546875" style="10" customWidth="1"/>
    <col min="3866" max="4089" width="9.140625" style="10"/>
    <col min="4090" max="4090" width="4.140625" style="10" customWidth="1"/>
    <col min="4091" max="4091" width="34" style="10" customWidth="1"/>
    <col min="4092" max="4092" width="11.140625" style="10" customWidth="1"/>
    <col min="4093" max="4093" width="5.42578125" style="10" customWidth="1"/>
    <col min="4094" max="4094" width="5.140625" style="10" customWidth="1"/>
    <col min="4095" max="4095" width="10" style="10" customWidth="1"/>
    <col min="4096" max="4096" width="9.85546875" style="10" customWidth="1"/>
    <col min="4097" max="4097" width="13" style="10" customWidth="1"/>
    <col min="4098" max="4111" width="0" style="10" hidden="1" customWidth="1"/>
    <col min="4112" max="4118" width="10.28515625" style="10" customWidth="1"/>
    <col min="4119" max="4119" width="24.28515625" style="10" customWidth="1"/>
    <col min="4120" max="4120" width="17" style="10" customWidth="1"/>
    <col min="4121" max="4121" width="23.85546875" style="10" customWidth="1"/>
    <col min="4122" max="4345" width="9.140625" style="10"/>
    <col min="4346" max="4346" width="4.140625" style="10" customWidth="1"/>
    <col min="4347" max="4347" width="34" style="10" customWidth="1"/>
    <col min="4348" max="4348" width="11.140625" style="10" customWidth="1"/>
    <col min="4349" max="4349" width="5.42578125" style="10" customWidth="1"/>
    <col min="4350" max="4350" width="5.140625" style="10" customWidth="1"/>
    <col min="4351" max="4351" width="10" style="10" customWidth="1"/>
    <col min="4352" max="4352" width="9.85546875" style="10" customWidth="1"/>
    <col min="4353" max="4353" width="13" style="10" customWidth="1"/>
    <col min="4354" max="4367" width="0" style="10" hidden="1" customWidth="1"/>
    <col min="4368" max="4374" width="10.28515625" style="10" customWidth="1"/>
    <col min="4375" max="4375" width="24.28515625" style="10" customWidth="1"/>
    <col min="4376" max="4376" width="17" style="10" customWidth="1"/>
    <col min="4377" max="4377" width="23.85546875" style="10" customWidth="1"/>
    <col min="4378" max="4601" width="9.140625" style="10"/>
    <col min="4602" max="4602" width="4.140625" style="10" customWidth="1"/>
    <col min="4603" max="4603" width="34" style="10" customWidth="1"/>
    <col min="4604" max="4604" width="11.140625" style="10" customWidth="1"/>
    <col min="4605" max="4605" width="5.42578125" style="10" customWidth="1"/>
    <col min="4606" max="4606" width="5.140625" style="10" customWidth="1"/>
    <col min="4607" max="4607" width="10" style="10" customWidth="1"/>
    <col min="4608" max="4608" width="9.85546875" style="10" customWidth="1"/>
    <col min="4609" max="4609" width="13" style="10" customWidth="1"/>
    <col min="4610" max="4623" width="0" style="10" hidden="1" customWidth="1"/>
    <col min="4624" max="4630" width="10.28515625" style="10" customWidth="1"/>
    <col min="4631" max="4631" width="24.28515625" style="10" customWidth="1"/>
    <col min="4632" max="4632" width="17" style="10" customWidth="1"/>
    <col min="4633" max="4633" width="23.85546875" style="10" customWidth="1"/>
    <col min="4634" max="4857" width="9.140625" style="10"/>
    <col min="4858" max="4858" width="4.140625" style="10" customWidth="1"/>
    <col min="4859" max="4859" width="34" style="10" customWidth="1"/>
    <col min="4860" max="4860" width="11.140625" style="10" customWidth="1"/>
    <col min="4861" max="4861" width="5.42578125" style="10" customWidth="1"/>
    <col min="4862" max="4862" width="5.140625" style="10" customWidth="1"/>
    <col min="4863" max="4863" width="10" style="10" customWidth="1"/>
    <col min="4864" max="4864" width="9.85546875" style="10" customWidth="1"/>
    <col min="4865" max="4865" width="13" style="10" customWidth="1"/>
    <col min="4866" max="4879" width="0" style="10" hidden="1" customWidth="1"/>
    <col min="4880" max="4886" width="10.28515625" style="10" customWidth="1"/>
    <col min="4887" max="4887" width="24.28515625" style="10" customWidth="1"/>
    <col min="4888" max="4888" width="17" style="10" customWidth="1"/>
    <col min="4889" max="4889" width="23.85546875" style="10" customWidth="1"/>
    <col min="4890" max="5113" width="9.140625" style="10"/>
    <col min="5114" max="5114" width="4.140625" style="10" customWidth="1"/>
    <col min="5115" max="5115" width="34" style="10" customWidth="1"/>
    <col min="5116" max="5116" width="11.140625" style="10" customWidth="1"/>
    <col min="5117" max="5117" width="5.42578125" style="10" customWidth="1"/>
    <col min="5118" max="5118" width="5.140625" style="10" customWidth="1"/>
    <col min="5119" max="5119" width="10" style="10" customWidth="1"/>
    <col min="5120" max="5120" width="9.85546875" style="10" customWidth="1"/>
    <col min="5121" max="5121" width="13" style="10" customWidth="1"/>
    <col min="5122" max="5135" width="0" style="10" hidden="1" customWidth="1"/>
    <col min="5136" max="5142" width="10.28515625" style="10" customWidth="1"/>
    <col min="5143" max="5143" width="24.28515625" style="10" customWidth="1"/>
    <col min="5144" max="5144" width="17" style="10" customWidth="1"/>
    <col min="5145" max="5145" width="23.85546875" style="10" customWidth="1"/>
    <col min="5146" max="5369" width="9.140625" style="10"/>
    <col min="5370" max="5370" width="4.140625" style="10" customWidth="1"/>
    <col min="5371" max="5371" width="34" style="10" customWidth="1"/>
    <col min="5372" max="5372" width="11.140625" style="10" customWidth="1"/>
    <col min="5373" max="5373" width="5.42578125" style="10" customWidth="1"/>
    <col min="5374" max="5374" width="5.140625" style="10" customWidth="1"/>
    <col min="5375" max="5375" width="10" style="10" customWidth="1"/>
    <col min="5376" max="5376" width="9.85546875" style="10" customWidth="1"/>
    <col min="5377" max="5377" width="13" style="10" customWidth="1"/>
    <col min="5378" max="5391" width="0" style="10" hidden="1" customWidth="1"/>
    <col min="5392" max="5398" width="10.28515625" style="10" customWidth="1"/>
    <col min="5399" max="5399" width="24.28515625" style="10" customWidth="1"/>
    <col min="5400" max="5400" width="17" style="10" customWidth="1"/>
    <col min="5401" max="5401" width="23.85546875" style="10" customWidth="1"/>
    <col min="5402" max="5625" width="9.140625" style="10"/>
    <col min="5626" max="5626" width="4.140625" style="10" customWidth="1"/>
    <col min="5627" max="5627" width="34" style="10" customWidth="1"/>
    <col min="5628" max="5628" width="11.140625" style="10" customWidth="1"/>
    <col min="5629" max="5629" width="5.42578125" style="10" customWidth="1"/>
    <col min="5630" max="5630" width="5.140625" style="10" customWidth="1"/>
    <col min="5631" max="5631" width="10" style="10" customWidth="1"/>
    <col min="5632" max="5632" width="9.85546875" style="10" customWidth="1"/>
    <col min="5633" max="5633" width="13" style="10" customWidth="1"/>
    <col min="5634" max="5647" width="0" style="10" hidden="1" customWidth="1"/>
    <col min="5648" max="5654" width="10.28515625" style="10" customWidth="1"/>
    <col min="5655" max="5655" width="24.28515625" style="10" customWidth="1"/>
    <col min="5656" max="5656" width="17" style="10" customWidth="1"/>
    <col min="5657" max="5657" width="23.85546875" style="10" customWidth="1"/>
    <col min="5658" max="5881" width="9.140625" style="10"/>
    <col min="5882" max="5882" width="4.140625" style="10" customWidth="1"/>
    <col min="5883" max="5883" width="34" style="10" customWidth="1"/>
    <col min="5884" max="5884" width="11.140625" style="10" customWidth="1"/>
    <col min="5885" max="5885" width="5.42578125" style="10" customWidth="1"/>
    <col min="5886" max="5886" width="5.140625" style="10" customWidth="1"/>
    <col min="5887" max="5887" width="10" style="10" customWidth="1"/>
    <col min="5888" max="5888" width="9.85546875" style="10" customWidth="1"/>
    <col min="5889" max="5889" width="13" style="10" customWidth="1"/>
    <col min="5890" max="5903" width="0" style="10" hidden="1" customWidth="1"/>
    <col min="5904" max="5910" width="10.28515625" style="10" customWidth="1"/>
    <col min="5911" max="5911" width="24.28515625" style="10" customWidth="1"/>
    <col min="5912" max="5912" width="17" style="10" customWidth="1"/>
    <col min="5913" max="5913" width="23.85546875" style="10" customWidth="1"/>
    <col min="5914" max="6137" width="9.140625" style="10"/>
    <col min="6138" max="6138" width="4.140625" style="10" customWidth="1"/>
    <col min="6139" max="6139" width="34" style="10" customWidth="1"/>
    <col min="6140" max="6140" width="11.140625" style="10" customWidth="1"/>
    <col min="6141" max="6141" width="5.42578125" style="10" customWidth="1"/>
    <col min="6142" max="6142" width="5.140625" style="10" customWidth="1"/>
    <col min="6143" max="6143" width="10" style="10" customWidth="1"/>
    <col min="6144" max="6144" width="9.85546875" style="10" customWidth="1"/>
    <col min="6145" max="6145" width="13" style="10" customWidth="1"/>
    <col min="6146" max="6159" width="0" style="10" hidden="1" customWidth="1"/>
    <col min="6160" max="6166" width="10.28515625" style="10" customWidth="1"/>
    <col min="6167" max="6167" width="24.28515625" style="10" customWidth="1"/>
    <col min="6168" max="6168" width="17" style="10" customWidth="1"/>
    <col min="6169" max="6169" width="23.85546875" style="10" customWidth="1"/>
    <col min="6170" max="6393" width="9.140625" style="10"/>
    <col min="6394" max="6394" width="4.140625" style="10" customWidth="1"/>
    <col min="6395" max="6395" width="34" style="10" customWidth="1"/>
    <col min="6396" max="6396" width="11.140625" style="10" customWidth="1"/>
    <col min="6397" max="6397" width="5.42578125" style="10" customWidth="1"/>
    <col min="6398" max="6398" width="5.140625" style="10" customWidth="1"/>
    <col min="6399" max="6399" width="10" style="10" customWidth="1"/>
    <col min="6400" max="6400" width="9.85546875" style="10" customWidth="1"/>
    <col min="6401" max="6401" width="13" style="10" customWidth="1"/>
    <col min="6402" max="6415" width="0" style="10" hidden="1" customWidth="1"/>
    <col min="6416" max="6422" width="10.28515625" style="10" customWidth="1"/>
    <col min="6423" max="6423" width="24.28515625" style="10" customWidth="1"/>
    <col min="6424" max="6424" width="17" style="10" customWidth="1"/>
    <col min="6425" max="6425" width="23.85546875" style="10" customWidth="1"/>
    <col min="6426" max="6649" width="9.140625" style="10"/>
    <col min="6650" max="6650" width="4.140625" style="10" customWidth="1"/>
    <col min="6651" max="6651" width="34" style="10" customWidth="1"/>
    <col min="6652" max="6652" width="11.140625" style="10" customWidth="1"/>
    <col min="6653" max="6653" width="5.42578125" style="10" customWidth="1"/>
    <col min="6654" max="6654" width="5.140625" style="10" customWidth="1"/>
    <col min="6655" max="6655" width="10" style="10" customWidth="1"/>
    <col min="6656" max="6656" width="9.85546875" style="10" customWidth="1"/>
    <col min="6657" max="6657" width="13" style="10" customWidth="1"/>
    <col min="6658" max="6671" width="0" style="10" hidden="1" customWidth="1"/>
    <col min="6672" max="6678" width="10.28515625" style="10" customWidth="1"/>
    <col min="6679" max="6679" width="24.28515625" style="10" customWidth="1"/>
    <col min="6680" max="6680" width="17" style="10" customWidth="1"/>
    <col min="6681" max="6681" width="23.85546875" style="10" customWidth="1"/>
    <col min="6682" max="6905" width="9.140625" style="10"/>
    <col min="6906" max="6906" width="4.140625" style="10" customWidth="1"/>
    <col min="6907" max="6907" width="34" style="10" customWidth="1"/>
    <col min="6908" max="6908" width="11.140625" style="10" customWidth="1"/>
    <col min="6909" max="6909" width="5.42578125" style="10" customWidth="1"/>
    <col min="6910" max="6910" width="5.140625" style="10" customWidth="1"/>
    <col min="6911" max="6911" width="10" style="10" customWidth="1"/>
    <col min="6912" max="6912" width="9.85546875" style="10" customWidth="1"/>
    <col min="6913" max="6913" width="13" style="10" customWidth="1"/>
    <col min="6914" max="6927" width="0" style="10" hidden="1" customWidth="1"/>
    <col min="6928" max="6934" width="10.28515625" style="10" customWidth="1"/>
    <col min="6935" max="6935" width="24.28515625" style="10" customWidth="1"/>
    <col min="6936" max="6936" width="17" style="10" customWidth="1"/>
    <col min="6937" max="6937" width="23.85546875" style="10" customWidth="1"/>
    <col min="6938" max="7161" width="9.140625" style="10"/>
    <col min="7162" max="7162" width="4.140625" style="10" customWidth="1"/>
    <col min="7163" max="7163" width="34" style="10" customWidth="1"/>
    <col min="7164" max="7164" width="11.140625" style="10" customWidth="1"/>
    <col min="7165" max="7165" width="5.42578125" style="10" customWidth="1"/>
    <col min="7166" max="7166" width="5.140625" style="10" customWidth="1"/>
    <col min="7167" max="7167" width="10" style="10" customWidth="1"/>
    <col min="7168" max="7168" width="9.85546875" style="10" customWidth="1"/>
    <col min="7169" max="7169" width="13" style="10" customWidth="1"/>
    <col min="7170" max="7183" width="0" style="10" hidden="1" customWidth="1"/>
    <col min="7184" max="7190" width="10.28515625" style="10" customWidth="1"/>
    <col min="7191" max="7191" width="24.28515625" style="10" customWidth="1"/>
    <col min="7192" max="7192" width="17" style="10" customWidth="1"/>
    <col min="7193" max="7193" width="23.85546875" style="10" customWidth="1"/>
    <col min="7194" max="7417" width="9.140625" style="10"/>
    <col min="7418" max="7418" width="4.140625" style="10" customWidth="1"/>
    <col min="7419" max="7419" width="34" style="10" customWidth="1"/>
    <col min="7420" max="7420" width="11.140625" style="10" customWidth="1"/>
    <col min="7421" max="7421" width="5.42578125" style="10" customWidth="1"/>
    <col min="7422" max="7422" width="5.140625" style="10" customWidth="1"/>
    <col min="7423" max="7423" width="10" style="10" customWidth="1"/>
    <col min="7424" max="7424" width="9.85546875" style="10" customWidth="1"/>
    <col min="7425" max="7425" width="13" style="10" customWidth="1"/>
    <col min="7426" max="7439" width="0" style="10" hidden="1" customWidth="1"/>
    <col min="7440" max="7446" width="10.28515625" style="10" customWidth="1"/>
    <col min="7447" max="7447" width="24.28515625" style="10" customWidth="1"/>
    <col min="7448" max="7448" width="17" style="10" customWidth="1"/>
    <col min="7449" max="7449" width="23.85546875" style="10" customWidth="1"/>
    <col min="7450" max="7673" width="9.140625" style="10"/>
    <col min="7674" max="7674" width="4.140625" style="10" customWidth="1"/>
    <col min="7675" max="7675" width="34" style="10" customWidth="1"/>
    <col min="7676" max="7676" width="11.140625" style="10" customWidth="1"/>
    <col min="7677" max="7677" width="5.42578125" style="10" customWidth="1"/>
    <col min="7678" max="7678" width="5.140625" style="10" customWidth="1"/>
    <col min="7679" max="7679" width="10" style="10" customWidth="1"/>
    <col min="7680" max="7680" width="9.85546875" style="10" customWidth="1"/>
    <col min="7681" max="7681" width="13" style="10" customWidth="1"/>
    <col min="7682" max="7695" width="0" style="10" hidden="1" customWidth="1"/>
    <col min="7696" max="7702" width="10.28515625" style="10" customWidth="1"/>
    <col min="7703" max="7703" width="24.28515625" style="10" customWidth="1"/>
    <col min="7704" max="7704" width="17" style="10" customWidth="1"/>
    <col min="7705" max="7705" width="23.85546875" style="10" customWidth="1"/>
    <col min="7706" max="7929" width="9.140625" style="10"/>
    <col min="7930" max="7930" width="4.140625" style="10" customWidth="1"/>
    <col min="7931" max="7931" width="34" style="10" customWidth="1"/>
    <col min="7932" max="7932" width="11.140625" style="10" customWidth="1"/>
    <col min="7933" max="7933" width="5.42578125" style="10" customWidth="1"/>
    <col min="7934" max="7934" width="5.140625" style="10" customWidth="1"/>
    <col min="7935" max="7935" width="10" style="10" customWidth="1"/>
    <col min="7936" max="7936" width="9.85546875" style="10" customWidth="1"/>
    <col min="7937" max="7937" width="13" style="10" customWidth="1"/>
    <col min="7938" max="7951" width="0" style="10" hidden="1" customWidth="1"/>
    <col min="7952" max="7958" width="10.28515625" style="10" customWidth="1"/>
    <col min="7959" max="7959" width="24.28515625" style="10" customWidth="1"/>
    <col min="7960" max="7960" width="17" style="10" customWidth="1"/>
    <col min="7961" max="7961" width="23.85546875" style="10" customWidth="1"/>
    <col min="7962" max="8185" width="9.140625" style="10"/>
    <col min="8186" max="8186" width="4.140625" style="10" customWidth="1"/>
    <col min="8187" max="8187" width="34" style="10" customWidth="1"/>
    <col min="8188" max="8188" width="11.140625" style="10" customWidth="1"/>
    <col min="8189" max="8189" width="5.42578125" style="10" customWidth="1"/>
    <col min="8190" max="8190" width="5.140625" style="10" customWidth="1"/>
    <col min="8191" max="8191" width="10" style="10" customWidth="1"/>
    <col min="8192" max="8192" width="9.85546875" style="10" customWidth="1"/>
    <col min="8193" max="8193" width="13" style="10" customWidth="1"/>
    <col min="8194" max="8207" width="0" style="10" hidden="1" customWidth="1"/>
    <col min="8208" max="8214" width="10.28515625" style="10" customWidth="1"/>
    <col min="8215" max="8215" width="24.28515625" style="10" customWidth="1"/>
    <col min="8216" max="8216" width="17" style="10" customWidth="1"/>
    <col min="8217" max="8217" width="23.85546875" style="10" customWidth="1"/>
    <col min="8218" max="8441" width="9.140625" style="10"/>
    <col min="8442" max="8442" width="4.140625" style="10" customWidth="1"/>
    <col min="8443" max="8443" width="34" style="10" customWidth="1"/>
    <col min="8444" max="8444" width="11.140625" style="10" customWidth="1"/>
    <col min="8445" max="8445" width="5.42578125" style="10" customWidth="1"/>
    <col min="8446" max="8446" width="5.140625" style="10" customWidth="1"/>
    <col min="8447" max="8447" width="10" style="10" customWidth="1"/>
    <col min="8448" max="8448" width="9.85546875" style="10" customWidth="1"/>
    <col min="8449" max="8449" width="13" style="10" customWidth="1"/>
    <col min="8450" max="8463" width="0" style="10" hidden="1" customWidth="1"/>
    <col min="8464" max="8470" width="10.28515625" style="10" customWidth="1"/>
    <col min="8471" max="8471" width="24.28515625" style="10" customWidth="1"/>
    <col min="8472" max="8472" width="17" style="10" customWidth="1"/>
    <col min="8473" max="8473" width="23.85546875" style="10" customWidth="1"/>
    <col min="8474" max="8697" width="9.140625" style="10"/>
    <col min="8698" max="8698" width="4.140625" style="10" customWidth="1"/>
    <col min="8699" max="8699" width="34" style="10" customWidth="1"/>
    <col min="8700" max="8700" width="11.140625" style="10" customWidth="1"/>
    <col min="8701" max="8701" width="5.42578125" style="10" customWidth="1"/>
    <col min="8702" max="8702" width="5.140625" style="10" customWidth="1"/>
    <col min="8703" max="8703" width="10" style="10" customWidth="1"/>
    <col min="8704" max="8704" width="9.85546875" style="10" customWidth="1"/>
    <col min="8705" max="8705" width="13" style="10" customWidth="1"/>
    <col min="8706" max="8719" width="0" style="10" hidden="1" customWidth="1"/>
    <col min="8720" max="8726" width="10.28515625" style="10" customWidth="1"/>
    <col min="8727" max="8727" width="24.28515625" style="10" customWidth="1"/>
    <col min="8728" max="8728" width="17" style="10" customWidth="1"/>
    <col min="8729" max="8729" width="23.85546875" style="10" customWidth="1"/>
    <col min="8730" max="8953" width="9.140625" style="10"/>
    <col min="8954" max="8954" width="4.140625" style="10" customWidth="1"/>
    <col min="8955" max="8955" width="34" style="10" customWidth="1"/>
    <col min="8956" max="8956" width="11.140625" style="10" customWidth="1"/>
    <col min="8957" max="8957" width="5.42578125" style="10" customWidth="1"/>
    <col min="8958" max="8958" width="5.140625" style="10" customWidth="1"/>
    <col min="8959" max="8959" width="10" style="10" customWidth="1"/>
    <col min="8960" max="8960" width="9.85546875" style="10" customWidth="1"/>
    <col min="8961" max="8961" width="13" style="10" customWidth="1"/>
    <col min="8962" max="8975" width="0" style="10" hidden="1" customWidth="1"/>
    <col min="8976" max="8982" width="10.28515625" style="10" customWidth="1"/>
    <col min="8983" max="8983" width="24.28515625" style="10" customWidth="1"/>
    <col min="8984" max="8984" width="17" style="10" customWidth="1"/>
    <col min="8985" max="8985" width="23.85546875" style="10" customWidth="1"/>
    <col min="8986" max="9209" width="9.140625" style="10"/>
    <col min="9210" max="9210" width="4.140625" style="10" customWidth="1"/>
    <col min="9211" max="9211" width="34" style="10" customWidth="1"/>
    <col min="9212" max="9212" width="11.140625" style="10" customWidth="1"/>
    <col min="9213" max="9213" width="5.42578125" style="10" customWidth="1"/>
    <col min="9214" max="9214" width="5.140625" style="10" customWidth="1"/>
    <col min="9215" max="9215" width="10" style="10" customWidth="1"/>
    <col min="9216" max="9216" width="9.85546875" style="10" customWidth="1"/>
    <col min="9217" max="9217" width="13" style="10" customWidth="1"/>
    <col min="9218" max="9231" width="0" style="10" hidden="1" customWidth="1"/>
    <col min="9232" max="9238" width="10.28515625" style="10" customWidth="1"/>
    <col min="9239" max="9239" width="24.28515625" style="10" customWidth="1"/>
    <col min="9240" max="9240" width="17" style="10" customWidth="1"/>
    <col min="9241" max="9241" width="23.85546875" style="10" customWidth="1"/>
    <col min="9242" max="9465" width="9.140625" style="10"/>
    <col min="9466" max="9466" width="4.140625" style="10" customWidth="1"/>
    <col min="9467" max="9467" width="34" style="10" customWidth="1"/>
    <col min="9468" max="9468" width="11.140625" style="10" customWidth="1"/>
    <col min="9469" max="9469" width="5.42578125" style="10" customWidth="1"/>
    <col min="9470" max="9470" width="5.140625" style="10" customWidth="1"/>
    <col min="9471" max="9471" width="10" style="10" customWidth="1"/>
    <col min="9472" max="9472" width="9.85546875" style="10" customWidth="1"/>
    <col min="9473" max="9473" width="13" style="10" customWidth="1"/>
    <col min="9474" max="9487" width="0" style="10" hidden="1" customWidth="1"/>
    <col min="9488" max="9494" width="10.28515625" style="10" customWidth="1"/>
    <col min="9495" max="9495" width="24.28515625" style="10" customWidth="1"/>
    <col min="9496" max="9496" width="17" style="10" customWidth="1"/>
    <col min="9497" max="9497" width="23.85546875" style="10" customWidth="1"/>
    <col min="9498" max="9721" width="9.140625" style="10"/>
    <col min="9722" max="9722" width="4.140625" style="10" customWidth="1"/>
    <col min="9723" max="9723" width="34" style="10" customWidth="1"/>
    <col min="9724" max="9724" width="11.140625" style="10" customWidth="1"/>
    <col min="9725" max="9725" width="5.42578125" style="10" customWidth="1"/>
    <col min="9726" max="9726" width="5.140625" style="10" customWidth="1"/>
    <col min="9727" max="9727" width="10" style="10" customWidth="1"/>
    <col min="9728" max="9728" width="9.85546875" style="10" customWidth="1"/>
    <col min="9729" max="9729" width="13" style="10" customWidth="1"/>
    <col min="9730" max="9743" width="0" style="10" hidden="1" customWidth="1"/>
    <col min="9744" max="9750" width="10.28515625" style="10" customWidth="1"/>
    <col min="9751" max="9751" width="24.28515625" style="10" customWidth="1"/>
    <col min="9752" max="9752" width="17" style="10" customWidth="1"/>
    <col min="9753" max="9753" width="23.85546875" style="10" customWidth="1"/>
    <col min="9754" max="9977" width="9.140625" style="10"/>
    <col min="9978" max="9978" width="4.140625" style="10" customWidth="1"/>
    <col min="9979" max="9979" width="34" style="10" customWidth="1"/>
    <col min="9980" max="9980" width="11.140625" style="10" customWidth="1"/>
    <col min="9981" max="9981" width="5.42578125" style="10" customWidth="1"/>
    <col min="9982" max="9982" width="5.140625" style="10" customWidth="1"/>
    <col min="9983" max="9983" width="10" style="10" customWidth="1"/>
    <col min="9984" max="9984" width="9.85546875" style="10" customWidth="1"/>
    <col min="9985" max="9985" width="13" style="10" customWidth="1"/>
    <col min="9986" max="9999" width="0" style="10" hidden="1" customWidth="1"/>
    <col min="10000" max="10006" width="10.28515625" style="10" customWidth="1"/>
    <col min="10007" max="10007" width="24.28515625" style="10" customWidth="1"/>
    <col min="10008" max="10008" width="17" style="10" customWidth="1"/>
    <col min="10009" max="10009" width="23.85546875" style="10" customWidth="1"/>
    <col min="10010" max="10233" width="9.140625" style="10"/>
    <col min="10234" max="10234" width="4.140625" style="10" customWidth="1"/>
    <col min="10235" max="10235" width="34" style="10" customWidth="1"/>
    <col min="10236" max="10236" width="11.140625" style="10" customWidth="1"/>
    <col min="10237" max="10237" width="5.42578125" style="10" customWidth="1"/>
    <col min="10238" max="10238" width="5.140625" style="10" customWidth="1"/>
    <col min="10239" max="10239" width="10" style="10" customWidth="1"/>
    <col min="10240" max="10240" width="9.85546875" style="10" customWidth="1"/>
    <col min="10241" max="10241" width="13" style="10" customWidth="1"/>
    <col min="10242" max="10255" width="0" style="10" hidden="1" customWidth="1"/>
    <col min="10256" max="10262" width="10.28515625" style="10" customWidth="1"/>
    <col min="10263" max="10263" width="24.28515625" style="10" customWidth="1"/>
    <col min="10264" max="10264" width="17" style="10" customWidth="1"/>
    <col min="10265" max="10265" width="23.85546875" style="10" customWidth="1"/>
    <col min="10266" max="10489" width="9.140625" style="10"/>
    <col min="10490" max="10490" width="4.140625" style="10" customWidth="1"/>
    <col min="10491" max="10491" width="34" style="10" customWidth="1"/>
    <col min="10492" max="10492" width="11.140625" style="10" customWidth="1"/>
    <col min="10493" max="10493" width="5.42578125" style="10" customWidth="1"/>
    <col min="10494" max="10494" width="5.140625" style="10" customWidth="1"/>
    <col min="10495" max="10495" width="10" style="10" customWidth="1"/>
    <col min="10496" max="10496" width="9.85546875" style="10" customWidth="1"/>
    <col min="10497" max="10497" width="13" style="10" customWidth="1"/>
    <col min="10498" max="10511" width="0" style="10" hidden="1" customWidth="1"/>
    <col min="10512" max="10518" width="10.28515625" style="10" customWidth="1"/>
    <col min="10519" max="10519" width="24.28515625" style="10" customWidth="1"/>
    <col min="10520" max="10520" width="17" style="10" customWidth="1"/>
    <col min="10521" max="10521" width="23.85546875" style="10" customWidth="1"/>
    <col min="10522" max="10745" width="9.140625" style="10"/>
    <col min="10746" max="10746" width="4.140625" style="10" customWidth="1"/>
    <col min="10747" max="10747" width="34" style="10" customWidth="1"/>
    <col min="10748" max="10748" width="11.140625" style="10" customWidth="1"/>
    <col min="10749" max="10749" width="5.42578125" style="10" customWidth="1"/>
    <col min="10750" max="10750" width="5.140625" style="10" customWidth="1"/>
    <col min="10751" max="10751" width="10" style="10" customWidth="1"/>
    <col min="10752" max="10752" width="9.85546875" style="10" customWidth="1"/>
    <col min="10753" max="10753" width="13" style="10" customWidth="1"/>
    <col min="10754" max="10767" width="0" style="10" hidden="1" customWidth="1"/>
    <col min="10768" max="10774" width="10.28515625" style="10" customWidth="1"/>
    <col min="10775" max="10775" width="24.28515625" style="10" customWidth="1"/>
    <col min="10776" max="10776" width="17" style="10" customWidth="1"/>
    <col min="10777" max="10777" width="23.85546875" style="10" customWidth="1"/>
    <col min="10778" max="11001" width="9.140625" style="10"/>
    <col min="11002" max="11002" width="4.140625" style="10" customWidth="1"/>
    <col min="11003" max="11003" width="34" style="10" customWidth="1"/>
    <col min="11004" max="11004" width="11.140625" style="10" customWidth="1"/>
    <col min="11005" max="11005" width="5.42578125" style="10" customWidth="1"/>
    <col min="11006" max="11006" width="5.140625" style="10" customWidth="1"/>
    <col min="11007" max="11007" width="10" style="10" customWidth="1"/>
    <col min="11008" max="11008" width="9.85546875" style="10" customWidth="1"/>
    <col min="11009" max="11009" width="13" style="10" customWidth="1"/>
    <col min="11010" max="11023" width="0" style="10" hidden="1" customWidth="1"/>
    <col min="11024" max="11030" width="10.28515625" style="10" customWidth="1"/>
    <col min="11031" max="11031" width="24.28515625" style="10" customWidth="1"/>
    <col min="11032" max="11032" width="17" style="10" customWidth="1"/>
    <col min="11033" max="11033" width="23.85546875" style="10" customWidth="1"/>
    <col min="11034" max="11257" width="9.140625" style="10"/>
    <col min="11258" max="11258" width="4.140625" style="10" customWidth="1"/>
    <col min="11259" max="11259" width="34" style="10" customWidth="1"/>
    <col min="11260" max="11260" width="11.140625" style="10" customWidth="1"/>
    <col min="11261" max="11261" width="5.42578125" style="10" customWidth="1"/>
    <col min="11262" max="11262" width="5.140625" style="10" customWidth="1"/>
    <col min="11263" max="11263" width="10" style="10" customWidth="1"/>
    <col min="11264" max="11264" width="9.85546875" style="10" customWidth="1"/>
    <col min="11265" max="11265" width="13" style="10" customWidth="1"/>
    <col min="11266" max="11279" width="0" style="10" hidden="1" customWidth="1"/>
    <col min="11280" max="11286" width="10.28515625" style="10" customWidth="1"/>
    <col min="11287" max="11287" width="24.28515625" style="10" customWidth="1"/>
    <col min="11288" max="11288" width="17" style="10" customWidth="1"/>
    <col min="11289" max="11289" width="23.85546875" style="10" customWidth="1"/>
    <col min="11290" max="11513" width="9.140625" style="10"/>
    <col min="11514" max="11514" width="4.140625" style="10" customWidth="1"/>
    <col min="11515" max="11515" width="34" style="10" customWidth="1"/>
    <col min="11516" max="11516" width="11.140625" style="10" customWidth="1"/>
    <col min="11517" max="11517" width="5.42578125" style="10" customWidth="1"/>
    <col min="11518" max="11518" width="5.140625" style="10" customWidth="1"/>
    <col min="11519" max="11519" width="10" style="10" customWidth="1"/>
    <col min="11520" max="11520" width="9.85546875" style="10" customWidth="1"/>
    <col min="11521" max="11521" width="13" style="10" customWidth="1"/>
    <col min="11522" max="11535" width="0" style="10" hidden="1" customWidth="1"/>
    <col min="11536" max="11542" width="10.28515625" style="10" customWidth="1"/>
    <col min="11543" max="11543" width="24.28515625" style="10" customWidth="1"/>
    <col min="11544" max="11544" width="17" style="10" customWidth="1"/>
    <col min="11545" max="11545" width="23.85546875" style="10" customWidth="1"/>
    <col min="11546" max="11769" width="9.140625" style="10"/>
    <col min="11770" max="11770" width="4.140625" style="10" customWidth="1"/>
    <col min="11771" max="11771" width="34" style="10" customWidth="1"/>
    <col min="11772" max="11772" width="11.140625" style="10" customWidth="1"/>
    <col min="11773" max="11773" width="5.42578125" style="10" customWidth="1"/>
    <col min="11774" max="11774" width="5.140625" style="10" customWidth="1"/>
    <col min="11775" max="11775" width="10" style="10" customWidth="1"/>
    <col min="11776" max="11776" width="9.85546875" style="10" customWidth="1"/>
    <col min="11777" max="11777" width="13" style="10" customWidth="1"/>
    <col min="11778" max="11791" width="0" style="10" hidden="1" customWidth="1"/>
    <col min="11792" max="11798" width="10.28515625" style="10" customWidth="1"/>
    <col min="11799" max="11799" width="24.28515625" style="10" customWidth="1"/>
    <col min="11800" max="11800" width="17" style="10" customWidth="1"/>
    <col min="11801" max="11801" width="23.85546875" style="10" customWidth="1"/>
    <col min="11802" max="12025" width="9.140625" style="10"/>
    <col min="12026" max="12026" width="4.140625" style="10" customWidth="1"/>
    <col min="12027" max="12027" width="34" style="10" customWidth="1"/>
    <col min="12028" max="12028" width="11.140625" style="10" customWidth="1"/>
    <col min="12029" max="12029" width="5.42578125" style="10" customWidth="1"/>
    <col min="12030" max="12030" width="5.140625" style="10" customWidth="1"/>
    <col min="12031" max="12031" width="10" style="10" customWidth="1"/>
    <col min="12032" max="12032" width="9.85546875" style="10" customWidth="1"/>
    <col min="12033" max="12033" width="13" style="10" customWidth="1"/>
    <col min="12034" max="12047" width="0" style="10" hidden="1" customWidth="1"/>
    <col min="12048" max="12054" width="10.28515625" style="10" customWidth="1"/>
    <col min="12055" max="12055" width="24.28515625" style="10" customWidth="1"/>
    <col min="12056" max="12056" width="17" style="10" customWidth="1"/>
    <col min="12057" max="12057" width="23.85546875" style="10" customWidth="1"/>
    <col min="12058" max="12281" width="9.140625" style="10"/>
    <col min="12282" max="12282" width="4.140625" style="10" customWidth="1"/>
    <col min="12283" max="12283" width="34" style="10" customWidth="1"/>
    <col min="12284" max="12284" width="11.140625" style="10" customWidth="1"/>
    <col min="12285" max="12285" width="5.42578125" style="10" customWidth="1"/>
    <col min="12286" max="12286" width="5.140625" style="10" customWidth="1"/>
    <col min="12287" max="12287" width="10" style="10" customWidth="1"/>
    <col min="12288" max="12288" width="9.85546875" style="10" customWidth="1"/>
    <col min="12289" max="12289" width="13" style="10" customWidth="1"/>
    <col min="12290" max="12303" width="0" style="10" hidden="1" customWidth="1"/>
    <col min="12304" max="12310" width="10.28515625" style="10" customWidth="1"/>
    <col min="12311" max="12311" width="24.28515625" style="10" customWidth="1"/>
    <col min="12312" max="12312" width="17" style="10" customWidth="1"/>
    <col min="12313" max="12313" width="23.85546875" style="10" customWidth="1"/>
    <col min="12314" max="12537" width="9.140625" style="10"/>
    <col min="12538" max="12538" width="4.140625" style="10" customWidth="1"/>
    <col min="12539" max="12539" width="34" style="10" customWidth="1"/>
    <col min="12540" max="12540" width="11.140625" style="10" customWidth="1"/>
    <col min="12541" max="12541" width="5.42578125" style="10" customWidth="1"/>
    <col min="12542" max="12542" width="5.140625" style="10" customWidth="1"/>
    <col min="12543" max="12543" width="10" style="10" customWidth="1"/>
    <col min="12544" max="12544" width="9.85546875" style="10" customWidth="1"/>
    <col min="12545" max="12545" width="13" style="10" customWidth="1"/>
    <col min="12546" max="12559" width="0" style="10" hidden="1" customWidth="1"/>
    <col min="12560" max="12566" width="10.28515625" style="10" customWidth="1"/>
    <col min="12567" max="12567" width="24.28515625" style="10" customWidth="1"/>
    <col min="12568" max="12568" width="17" style="10" customWidth="1"/>
    <col min="12569" max="12569" width="23.85546875" style="10" customWidth="1"/>
    <col min="12570" max="12793" width="9.140625" style="10"/>
    <col min="12794" max="12794" width="4.140625" style="10" customWidth="1"/>
    <col min="12795" max="12795" width="34" style="10" customWidth="1"/>
    <col min="12796" max="12796" width="11.140625" style="10" customWidth="1"/>
    <col min="12797" max="12797" width="5.42578125" style="10" customWidth="1"/>
    <col min="12798" max="12798" width="5.140625" style="10" customWidth="1"/>
    <col min="12799" max="12799" width="10" style="10" customWidth="1"/>
    <col min="12800" max="12800" width="9.85546875" style="10" customWidth="1"/>
    <col min="12801" max="12801" width="13" style="10" customWidth="1"/>
    <col min="12802" max="12815" width="0" style="10" hidden="1" customWidth="1"/>
    <col min="12816" max="12822" width="10.28515625" style="10" customWidth="1"/>
    <col min="12823" max="12823" width="24.28515625" style="10" customWidth="1"/>
    <col min="12824" max="12824" width="17" style="10" customWidth="1"/>
    <col min="12825" max="12825" width="23.85546875" style="10" customWidth="1"/>
    <col min="12826" max="13049" width="9.140625" style="10"/>
    <col min="13050" max="13050" width="4.140625" style="10" customWidth="1"/>
    <col min="13051" max="13051" width="34" style="10" customWidth="1"/>
    <col min="13052" max="13052" width="11.140625" style="10" customWidth="1"/>
    <col min="13053" max="13053" width="5.42578125" style="10" customWidth="1"/>
    <col min="13054" max="13054" width="5.140625" style="10" customWidth="1"/>
    <col min="13055" max="13055" width="10" style="10" customWidth="1"/>
    <col min="13056" max="13056" width="9.85546875" style="10" customWidth="1"/>
    <col min="13057" max="13057" width="13" style="10" customWidth="1"/>
    <col min="13058" max="13071" width="0" style="10" hidden="1" customWidth="1"/>
    <col min="13072" max="13078" width="10.28515625" style="10" customWidth="1"/>
    <col min="13079" max="13079" width="24.28515625" style="10" customWidth="1"/>
    <col min="13080" max="13080" width="17" style="10" customWidth="1"/>
    <col min="13081" max="13081" width="23.85546875" style="10" customWidth="1"/>
    <col min="13082" max="13305" width="9.140625" style="10"/>
    <col min="13306" max="13306" width="4.140625" style="10" customWidth="1"/>
    <col min="13307" max="13307" width="34" style="10" customWidth="1"/>
    <col min="13308" max="13308" width="11.140625" style="10" customWidth="1"/>
    <col min="13309" max="13309" width="5.42578125" style="10" customWidth="1"/>
    <col min="13310" max="13310" width="5.140625" style="10" customWidth="1"/>
    <col min="13311" max="13311" width="10" style="10" customWidth="1"/>
    <col min="13312" max="13312" width="9.85546875" style="10" customWidth="1"/>
    <col min="13313" max="13313" width="13" style="10" customWidth="1"/>
    <col min="13314" max="13327" width="0" style="10" hidden="1" customWidth="1"/>
    <col min="13328" max="13334" width="10.28515625" style="10" customWidth="1"/>
    <col min="13335" max="13335" width="24.28515625" style="10" customWidth="1"/>
    <col min="13336" max="13336" width="17" style="10" customWidth="1"/>
    <col min="13337" max="13337" width="23.85546875" style="10" customWidth="1"/>
    <col min="13338" max="13561" width="9.140625" style="10"/>
    <col min="13562" max="13562" width="4.140625" style="10" customWidth="1"/>
    <col min="13563" max="13563" width="34" style="10" customWidth="1"/>
    <col min="13564" max="13564" width="11.140625" style="10" customWidth="1"/>
    <col min="13565" max="13565" width="5.42578125" style="10" customWidth="1"/>
    <col min="13566" max="13566" width="5.140625" style="10" customWidth="1"/>
    <col min="13567" max="13567" width="10" style="10" customWidth="1"/>
    <col min="13568" max="13568" width="9.85546875" style="10" customWidth="1"/>
    <col min="13569" max="13569" width="13" style="10" customWidth="1"/>
    <col min="13570" max="13583" width="0" style="10" hidden="1" customWidth="1"/>
    <col min="13584" max="13590" width="10.28515625" style="10" customWidth="1"/>
    <col min="13591" max="13591" width="24.28515625" style="10" customWidth="1"/>
    <col min="13592" max="13592" width="17" style="10" customWidth="1"/>
    <col min="13593" max="13593" width="23.85546875" style="10" customWidth="1"/>
    <col min="13594" max="13817" width="9.140625" style="10"/>
    <col min="13818" max="13818" width="4.140625" style="10" customWidth="1"/>
    <col min="13819" max="13819" width="34" style="10" customWidth="1"/>
    <col min="13820" max="13820" width="11.140625" style="10" customWidth="1"/>
    <col min="13821" max="13821" width="5.42578125" style="10" customWidth="1"/>
    <col min="13822" max="13822" width="5.140625" style="10" customWidth="1"/>
    <col min="13823" max="13823" width="10" style="10" customWidth="1"/>
    <col min="13824" max="13824" width="9.85546875" style="10" customWidth="1"/>
    <col min="13825" max="13825" width="13" style="10" customWidth="1"/>
    <col min="13826" max="13839" width="0" style="10" hidden="1" customWidth="1"/>
    <col min="13840" max="13846" width="10.28515625" style="10" customWidth="1"/>
    <col min="13847" max="13847" width="24.28515625" style="10" customWidth="1"/>
    <col min="13848" max="13848" width="17" style="10" customWidth="1"/>
    <col min="13849" max="13849" width="23.85546875" style="10" customWidth="1"/>
    <col min="13850" max="14073" width="9.140625" style="10"/>
    <col min="14074" max="14074" width="4.140625" style="10" customWidth="1"/>
    <col min="14075" max="14075" width="34" style="10" customWidth="1"/>
    <col min="14076" max="14076" width="11.140625" style="10" customWidth="1"/>
    <col min="14077" max="14077" width="5.42578125" style="10" customWidth="1"/>
    <col min="14078" max="14078" width="5.140625" style="10" customWidth="1"/>
    <col min="14079" max="14079" width="10" style="10" customWidth="1"/>
    <col min="14080" max="14080" width="9.85546875" style="10" customWidth="1"/>
    <col min="14081" max="14081" width="13" style="10" customWidth="1"/>
    <col min="14082" max="14095" width="0" style="10" hidden="1" customWidth="1"/>
    <col min="14096" max="14102" width="10.28515625" style="10" customWidth="1"/>
    <col min="14103" max="14103" width="24.28515625" style="10" customWidth="1"/>
    <col min="14104" max="14104" width="17" style="10" customWidth="1"/>
    <col min="14105" max="14105" width="23.85546875" style="10" customWidth="1"/>
    <col min="14106" max="14329" width="9.140625" style="10"/>
    <col min="14330" max="14330" width="4.140625" style="10" customWidth="1"/>
    <col min="14331" max="14331" width="34" style="10" customWidth="1"/>
    <col min="14332" max="14332" width="11.140625" style="10" customWidth="1"/>
    <col min="14333" max="14333" width="5.42578125" style="10" customWidth="1"/>
    <col min="14334" max="14334" width="5.140625" style="10" customWidth="1"/>
    <col min="14335" max="14335" width="10" style="10" customWidth="1"/>
    <col min="14336" max="14336" width="9.85546875" style="10" customWidth="1"/>
    <col min="14337" max="14337" width="13" style="10" customWidth="1"/>
    <col min="14338" max="14351" width="0" style="10" hidden="1" customWidth="1"/>
    <col min="14352" max="14358" width="10.28515625" style="10" customWidth="1"/>
    <col min="14359" max="14359" width="24.28515625" style="10" customWidth="1"/>
    <col min="14360" max="14360" width="17" style="10" customWidth="1"/>
    <col min="14361" max="14361" width="23.85546875" style="10" customWidth="1"/>
    <col min="14362" max="14585" width="9.140625" style="10"/>
    <col min="14586" max="14586" width="4.140625" style="10" customWidth="1"/>
    <col min="14587" max="14587" width="34" style="10" customWidth="1"/>
    <col min="14588" max="14588" width="11.140625" style="10" customWidth="1"/>
    <col min="14589" max="14589" width="5.42578125" style="10" customWidth="1"/>
    <col min="14590" max="14590" width="5.140625" style="10" customWidth="1"/>
    <col min="14591" max="14591" width="10" style="10" customWidth="1"/>
    <col min="14592" max="14592" width="9.85546875" style="10" customWidth="1"/>
    <col min="14593" max="14593" width="13" style="10" customWidth="1"/>
    <col min="14594" max="14607" width="0" style="10" hidden="1" customWidth="1"/>
    <col min="14608" max="14614" width="10.28515625" style="10" customWidth="1"/>
    <col min="14615" max="14615" width="24.28515625" style="10" customWidth="1"/>
    <col min="14616" max="14616" width="17" style="10" customWidth="1"/>
    <col min="14617" max="14617" width="23.85546875" style="10" customWidth="1"/>
    <col min="14618" max="14841" width="9.140625" style="10"/>
    <col min="14842" max="14842" width="4.140625" style="10" customWidth="1"/>
    <col min="14843" max="14843" width="34" style="10" customWidth="1"/>
    <col min="14844" max="14844" width="11.140625" style="10" customWidth="1"/>
    <col min="14845" max="14845" width="5.42578125" style="10" customWidth="1"/>
    <col min="14846" max="14846" width="5.140625" style="10" customWidth="1"/>
    <col min="14847" max="14847" width="10" style="10" customWidth="1"/>
    <col min="14848" max="14848" width="9.85546875" style="10" customWidth="1"/>
    <col min="14849" max="14849" width="13" style="10" customWidth="1"/>
    <col min="14850" max="14863" width="0" style="10" hidden="1" customWidth="1"/>
    <col min="14864" max="14870" width="10.28515625" style="10" customWidth="1"/>
    <col min="14871" max="14871" width="24.28515625" style="10" customWidth="1"/>
    <col min="14872" max="14872" width="17" style="10" customWidth="1"/>
    <col min="14873" max="14873" width="23.85546875" style="10" customWidth="1"/>
    <col min="14874" max="15097" width="9.140625" style="10"/>
    <col min="15098" max="15098" width="4.140625" style="10" customWidth="1"/>
    <col min="15099" max="15099" width="34" style="10" customWidth="1"/>
    <col min="15100" max="15100" width="11.140625" style="10" customWidth="1"/>
    <col min="15101" max="15101" width="5.42578125" style="10" customWidth="1"/>
    <col min="15102" max="15102" width="5.140625" style="10" customWidth="1"/>
    <col min="15103" max="15103" width="10" style="10" customWidth="1"/>
    <col min="15104" max="15104" width="9.85546875" style="10" customWidth="1"/>
    <col min="15105" max="15105" width="13" style="10" customWidth="1"/>
    <col min="15106" max="15119" width="0" style="10" hidden="1" customWidth="1"/>
    <col min="15120" max="15126" width="10.28515625" style="10" customWidth="1"/>
    <col min="15127" max="15127" width="24.28515625" style="10" customWidth="1"/>
    <col min="15128" max="15128" width="17" style="10" customWidth="1"/>
    <col min="15129" max="15129" width="23.85546875" style="10" customWidth="1"/>
    <col min="15130" max="15353" width="9.140625" style="10"/>
    <col min="15354" max="15354" width="4.140625" style="10" customWidth="1"/>
    <col min="15355" max="15355" width="34" style="10" customWidth="1"/>
    <col min="15356" max="15356" width="11.140625" style="10" customWidth="1"/>
    <col min="15357" max="15357" width="5.42578125" style="10" customWidth="1"/>
    <col min="15358" max="15358" width="5.140625" style="10" customWidth="1"/>
    <col min="15359" max="15359" width="10" style="10" customWidth="1"/>
    <col min="15360" max="15360" width="9.85546875" style="10" customWidth="1"/>
    <col min="15361" max="15361" width="13" style="10" customWidth="1"/>
    <col min="15362" max="15375" width="0" style="10" hidden="1" customWidth="1"/>
    <col min="15376" max="15382" width="10.28515625" style="10" customWidth="1"/>
    <col min="15383" max="15383" width="24.28515625" style="10" customWidth="1"/>
    <col min="15384" max="15384" width="17" style="10" customWidth="1"/>
    <col min="15385" max="15385" width="23.85546875" style="10" customWidth="1"/>
    <col min="15386" max="15609" width="9.140625" style="10"/>
    <col min="15610" max="15610" width="4.140625" style="10" customWidth="1"/>
    <col min="15611" max="15611" width="34" style="10" customWidth="1"/>
    <col min="15612" max="15612" width="11.140625" style="10" customWidth="1"/>
    <col min="15613" max="15613" width="5.42578125" style="10" customWidth="1"/>
    <col min="15614" max="15614" width="5.140625" style="10" customWidth="1"/>
    <col min="15615" max="15615" width="10" style="10" customWidth="1"/>
    <col min="15616" max="15616" width="9.85546875" style="10" customWidth="1"/>
    <col min="15617" max="15617" width="13" style="10" customWidth="1"/>
    <col min="15618" max="15631" width="0" style="10" hidden="1" customWidth="1"/>
    <col min="15632" max="15638" width="10.28515625" style="10" customWidth="1"/>
    <col min="15639" max="15639" width="24.28515625" style="10" customWidth="1"/>
    <col min="15640" max="15640" width="17" style="10" customWidth="1"/>
    <col min="15641" max="15641" width="23.85546875" style="10" customWidth="1"/>
    <col min="15642" max="15865" width="9.140625" style="10"/>
    <col min="15866" max="15866" width="4.140625" style="10" customWidth="1"/>
    <col min="15867" max="15867" width="34" style="10" customWidth="1"/>
    <col min="15868" max="15868" width="11.140625" style="10" customWidth="1"/>
    <col min="15869" max="15869" width="5.42578125" style="10" customWidth="1"/>
    <col min="15870" max="15870" width="5.140625" style="10" customWidth="1"/>
    <col min="15871" max="15871" width="10" style="10" customWidth="1"/>
    <col min="15872" max="15872" width="9.85546875" style="10" customWidth="1"/>
    <col min="15873" max="15873" width="13" style="10" customWidth="1"/>
    <col min="15874" max="15887" width="0" style="10" hidden="1" customWidth="1"/>
    <col min="15888" max="15894" width="10.28515625" style="10" customWidth="1"/>
    <col min="15895" max="15895" width="24.28515625" style="10" customWidth="1"/>
    <col min="15896" max="15896" width="17" style="10" customWidth="1"/>
    <col min="15897" max="15897" width="23.85546875" style="10" customWidth="1"/>
    <col min="15898" max="16121" width="9.140625" style="10"/>
    <col min="16122" max="16122" width="4.140625" style="10" customWidth="1"/>
    <col min="16123" max="16123" width="34" style="10" customWidth="1"/>
    <col min="16124" max="16124" width="11.140625" style="10" customWidth="1"/>
    <col min="16125" max="16125" width="5.42578125" style="10" customWidth="1"/>
    <col min="16126" max="16126" width="5.140625" style="10" customWidth="1"/>
    <col min="16127" max="16127" width="10" style="10" customWidth="1"/>
    <col min="16128" max="16128" width="9.85546875" style="10" customWidth="1"/>
    <col min="16129" max="16129" width="13" style="10" customWidth="1"/>
    <col min="16130" max="16143" width="0" style="10" hidden="1" customWidth="1"/>
    <col min="16144" max="16150" width="10.28515625" style="10" customWidth="1"/>
    <col min="16151" max="16151" width="24.28515625" style="10" customWidth="1"/>
    <col min="16152" max="16152" width="17" style="10" customWidth="1"/>
    <col min="16153" max="16153" width="23.85546875" style="10" customWidth="1"/>
    <col min="16154" max="16384" width="9.140625" style="10"/>
  </cols>
  <sheetData>
    <row r="1" spans="1:25" s="1" customFormat="1" ht="15" customHeight="1" x14ac:dyDescent="0.25">
      <c r="A1" s="230"/>
      <c r="B1" s="230"/>
      <c r="C1" s="418"/>
      <c r="D1" s="230"/>
      <c r="E1" s="230"/>
      <c r="F1" s="230"/>
      <c r="G1" s="230"/>
      <c r="H1" s="230"/>
      <c r="I1" s="230"/>
      <c r="J1" s="230"/>
      <c r="K1" s="230"/>
      <c r="L1" s="230"/>
      <c r="M1" s="230"/>
      <c r="N1" s="230"/>
      <c r="O1" s="230"/>
      <c r="P1" s="230"/>
      <c r="Q1" s="230"/>
      <c r="R1" s="230"/>
      <c r="S1" s="230"/>
      <c r="T1" s="230"/>
      <c r="U1" s="230"/>
      <c r="V1" s="628"/>
      <c r="W1" s="628"/>
      <c r="X1" s="231"/>
    </row>
    <row r="2" spans="1:25" s="1" customFormat="1" ht="15" customHeight="1" x14ac:dyDescent="0.25">
      <c r="A2" s="230"/>
      <c r="B2" s="230"/>
      <c r="C2" s="418"/>
      <c r="D2" s="230"/>
      <c r="E2" s="230"/>
      <c r="F2" s="230"/>
      <c r="G2" s="230"/>
      <c r="H2" s="230"/>
      <c r="I2" s="230"/>
      <c r="J2" s="230"/>
      <c r="K2" s="230"/>
      <c r="L2" s="230"/>
      <c r="M2" s="230"/>
      <c r="N2" s="230"/>
      <c r="O2" s="230"/>
      <c r="P2" s="230"/>
      <c r="Q2" s="230"/>
      <c r="R2" s="230"/>
      <c r="S2" s="230"/>
      <c r="T2" s="230"/>
      <c r="U2" s="628" t="s">
        <v>386</v>
      </c>
      <c r="V2" s="628"/>
      <c r="W2" s="230"/>
      <c r="X2" s="231"/>
    </row>
    <row r="3" spans="1:25" s="1" customFormat="1" ht="19.5" customHeight="1" x14ac:dyDescent="0.25">
      <c r="A3" s="629" t="s">
        <v>349</v>
      </c>
      <c r="B3" s="629"/>
      <c r="C3" s="629"/>
      <c r="D3" s="629"/>
      <c r="E3" s="629"/>
      <c r="F3" s="629"/>
      <c r="G3" s="629"/>
      <c r="H3" s="629"/>
      <c r="I3" s="629"/>
      <c r="J3" s="629"/>
      <c r="K3" s="629"/>
      <c r="L3" s="629"/>
      <c r="M3" s="629"/>
      <c r="N3" s="629"/>
      <c r="O3" s="629"/>
      <c r="P3" s="629"/>
      <c r="Q3" s="629"/>
      <c r="R3" s="629"/>
      <c r="S3" s="629"/>
      <c r="T3" s="629"/>
      <c r="U3" s="629"/>
      <c r="V3" s="629"/>
      <c r="W3" s="629"/>
      <c r="X3" s="530"/>
    </row>
    <row r="4" spans="1:25" s="1" customFormat="1" ht="18.75" customHeight="1" x14ac:dyDescent="0.25">
      <c r="A4" s="630" t="str">
        <f>'KHV hạ tầng dân cư xây mới'!A3:U3</f>
        <v>(Kèm theo Kế hoạch số ……./KH-UBND ngày ……./……/2023 của UBND huyện Tân Yên)</v>
      </c>
      <c r="B4" s="630"/>
      <c r="C4" s="630"/>
      <c r="D4" s="630"/>
      <c r="E4" s="630"/>
      <c r="F4" s="630"/>
      <c r="G4" s="630"/>
      <c r="H4" s="630"/>
      <c r="I4" s="630"/>
      <c r="J4" s="630"/>
      <c r="K4" s="630"/>
      <c r="L4" s="630"/>
      <c r="M4" s="630"/>
      <c r="N4" s="630"/>
      <c r="O4" s="630"/>
      <c r="P4" s="630"/>
      <c r="Q4" s="630"/>
      <c r="R4" s="630"/>
      <c r="S4" s="630"/>
      <c r="T4" s="630"/>
      <c r="U4" s="630"/>
      <c r="V4" s="630"/>
      <c r="W4" s="630"/>
      <c r="X4" s="531"/>
    </row>
    <row r="5" spans="1:25" s="1" customFormat="1" ht="13.5" customHeight="1" x14ac:dyDescent="0.25">
      <c r="A5" s="631"/>
      <c r="B5" s="631"/>
      <c r="C5" s="419"/>
      <c r="D5" s="232"/>
      <c r="E5" s="530"/>
      <c r="F5" s="529"/>
      <c r="G5" s="529"/>
      <c r="H5" s="529"/>
      <c r="I5" s="234"/>
      <c r="J5" s="234"/>
      <c r="K5" s="234"/>
      <c r="L5" s="234"/>
      <c r="M5" s="234"/>
      <c r="N5" s="234"/>
      <c r="O5" s="234"/>
      <c r="P5" s="234"/>
      <c r="Q5" s="233"/>
      <c r="R5" s="233"/>
      <c r="S5" s="233"/>
      <c r="T5" s="233"/>
      <c r="U5" s="233"/>
      <c r="V5" s="233"/>
      <c r="W5" s="235"/>
      <c r="X5" s="235"/>
    </row>
    <row r="6" spans="1:25" s="1" customFormat="1" ht="16.5" customHeight="1" x14ac:dyDescent="0.25">
      <c r="A6" s="632" t="s">
        <v>35</v>
      </c>
      <c r="B6" s="604" t="s">
        <v>37</v>
      </c>
      <c r="C6" s="633" t="s">
        <v>284</v>
      </c>
      <c r="D6" s="636" t="s">
        <v>38</v>
      </c>
      <c r="E6" s="637" t="s">
        <v>39</v>
      </c>
      <c r="F6" s="622" t="s">
        <v>61</v>
      </c>
      <c r="G6" s="622" t="s">
        <v>31</v>
      </c>
      <c r="H6" s="622" t="s">
        <v>307</v>
      </c>
      <c r="I6" s="622" t="s">
        <v>173</v>
      </c>
      <c r="J6" s="622" t="s">
        <v>384</v>
      </c>
      <c r="K6" s="612" t="s">
        <v>308</v>
      </c>
      <c r="L6" s="641" t="s">
        <v>40</v>
      </c>
      <c r="M6" s="641"/>
      <c r="N6" s="612" t="s">
        <v>385</v>
      </c>
      <c r="O6" s="641" t="s">
        <v>40</v>
      </c>
      <c r="P6" s="641"/>
      <c r="Q6" s="604" t="s">
        <v>145</v>
      </c>
      <c r="R6" s="604"/>
      <c r="S6" s="604"/>
      <c r="T6" s="604"/>
      <c r="U6" s="604"/>
      <c r="V6" s="622" t="s">
        <v>496</v>
      </c>
      <c r="W6" s="638" t="s">
        <v>495</v>
      </c>
      <c r="X6" s="189"/>
      <c r="Y6" s="1" t="e">
        <f>#REF!+#REF!+#REF!</f>
        <v>#REF!</v>
      </c>
    </row>
    <row r="7" spans="1:25" s="1" customFormat="1" ht="20.25" customHeight="1" x14ac:dyDescent="0.25">
      <c r="A7" s="632"/>
      <c r="B7" s="604"/>
      <c r="C7" s="634"/>
      <c r="D7" s="636"/>
      <c r="E7" s="637"/>
      <c r="F7" s="623"/>
      <c r="G7" s="623"/>
      <c r="H7" s="623"/>
      <c r="I7" s="623"/>
      <c r="J7" s="623"/>
      <c r="K7" s="613"/>
      <c r="L7" s="641" t="s">
        <v>285</v>
      </c>
      <c r="M7" s="641" t="s">
        <v>286</v>
      </c>
      <c r="N7" s="613"/>
      <c r="O7" s="641" t="s">
        <v>285</v>
      </c>
      <c r="P7" s="641" t="s">
        <v>286</v>
      </c>
      <c r="Q7" s="623" t="s">
        <v>185</v>
      </c>
      <c r="R7" s="642" t="s">
        <v>319</v>
      </c>
      <c r="S7" s="642" t="s">
        <v>313</v>
      </c>
      <c r="T7" s="625" t="s">
        <v>314</v>
      </c>
      <c r="U7" s="627"/>
      <c r="V7" s="623"/>
      <c r="W7" s="639"/>
      <c r="X7" s="236"/>
    </row>
    <row r="8" spans="1:25" s="1" customFormat="1" ht="20.25" customHeight="1" x14ac:dyDescent="0.25">
      <c r="A8" s="632"/>
      <c r="B8" s="604"/>
      <c r="C8" s="634"/>
      <c r="D8" s="636"/>
      <c r="E8" s="637"/>
      <c r="F8" s="623"/>
      <c r="G8" s="623"/>
      <c r="H8" s="623"/>
      <c r="I8" s="623"/>
      <c r="J8" s="623"/>
      <c r="K8" s="613"/>
      <c r="L8" s="641"/>
      <c r="M8" s="641"/>
      <c r="N8" s="613"/>
      <c r="O8" s="641"/>
      <c r="P8" s="641"/>
      <c r="Q8" s="623"/>
      <c r="R8" s="643"/>
      <c r="S8" s="643"/>
      <c r="T8" s="632" t="s">
        <v>285</v>
      </c>
      <c r="U8" s="632" t="s">
        <v>297</v>
      </c>
      <c r="V8" s="623"/>
      <c r="W8" s="639"/>
      <c r="X8" s="236"/>
    </row>
    <row r="9" spans="1:25" s="1" customFormat="1" ht="48.75" customHeight="1" x14ac:dyDescent="0.25">
      <c r="A9" s="632"/>
      <c r="B9" s="604"/>
      <c r="C9" s="635"/>
      <c r="D9" s="636"/>
      <c r="E9" s="637"/>
      <c r="F9" s="624"/>
      <c r="G9" s="624"/>
      <c r="H9" s="624"/>
      <c r="I9" s="624"/>
      <c r="J9" s="624"/>
      <c r="K9" s="614"/>
      <c r="L9" s="641"/>
      <c r="M9" s="641"/>
      <c r="N9" s="614"/>
      <c r="O9" s="641"/>
      <c r="P9" s="641"/>
      <c r="Q9" s="624"/>
      <c r="R9" s="644"/>
      <c r="S9" s="644"/>
      <c r="T9" s="632"/>
      <c r="U9" s="632"/>
      <c r="V9" s="624"/>
      <c r="W9" s="640"/>
      <c r="X9" s="236"/>
    </row>
    <row r="10" spans="1:25" s="1" customFormat="1" ht="51" hidden="1" customHeight="1" x14ac:dyDescent="0.25">
      <c r="A10" s="532">
        <v>1</v>
      </c>
      <c r="B10" s="533">
        <v>2</v>
      </c>
      <c r="C10" s="534"/>
      <c r="D10" s="534">
        <v>3</v>
      </c>
      <c r="E10" s="535">
        <v>4</v>
      </c>
      <c r="F10" s="538">
        <v>5</v>
      </c>
      <c r="G10" s="538">
        <v>6</v>
      </c>
      <c r="H10" s="538">
        <v>7</v>
      </c>
      <c r="I10" s="237"/>
      <c r="J10" s="237"/>
      <c r="K10" s="237"/>
      <c r="L10" s="237"/>
      <c r="M10" s="237"/>
      <c r="N10" s="237"/>
      <c r="O10" s="237"/>
      <c r="P10" s="237"/>
      <c r="Q10" s="538">
        <v>20</v>
      </c>
      <c r="R10" s="536"/>
      <c r="S10" s="536"/>
      <c r="T10" s="536"/>
      <c r="U10" s="536"/>
      <c r="V10" s="537"/>
      <c r="W10" s="539">
        <v>25</v>
      </c>
      <c r="X10" s="236"/>
    </row>
    <row r="11" spans="1:25" s="1" customFormat="1" ht="24" customHeight="1" x14ac:dyDescent="0.25">
      <c r="A11" s="532"/>
      <c r="B11" s="124" t="s">
        <v>41</v>
      </c>
      <c r="C11" s="534"/>
      <c r="D11" s="534"/>
      <c r="E11" s="238">
        <f>E12+E21</f>
        <v>13</v>
      </c>
      <c r="F11" s="238">
        <f t="shared" ref="F11:W11" si="0">F12+F21</f>
        <v>276730</v>
      </c>
      <c r="G11" s="238">
        <f t="shared" si="0"/>
        <v>268692.82999999996</v>
      </c>
      <c r="H11" s="238">
        <f t="shared" si="0"/>
        <v>10177</v>
      </c>
      <c r="I11" s="238">
        <f t="shared" si="0"/>
        <v>3000</v>
      </c>
      <c r="J11" s="238">
        <f t="shared" si="0"/>
        <v>10677</v>
      </c>
      <c r="K11" s="238">
        <f t="shared" si="0"/>
        <v>214600</v>
      </c>
      <c r="L11" s="238">
        <f t="shared" si="0"/>
        <v>65200</v>
      </c>
      <c r="M11" s="238">
        <f t="shared" si="0"/>
        <v>149400</v>
      </c>
      <c r="N11" s="238">
        <f t="shared" si="0"/>
        <v>79525.820999999996</v>
      </c>
      <c r="O11" s="238">
        <f t="shared" si="0"/>
        <v>45742</v>
      </c>
      <c r="P11" s="238">
        <f t="shared" si="0"/>
        <v>33783.820999999996</v>
      </c>
      <c r="Q11" s="238">
        <f t="shared" si="0"/>
        <v>214600</v>
      </c>
      <c r="R11" s="238">
        <f t="shared" si="0"/>
        <v>135074.179</v>
      </c>
      <c r="S11" s="453">
        <f t="shared" si="0"/>
        <v>79525.820999999996</v>
      </c>
      <c r="T11" s="238">
        <f t="shared" si="0"/>
        <v>45742</v>
      </c>
      <c r="U11" s="238">
        <f t="shared" si="0"/>
        <v>33783.820999999996</v>
      </c>
      <c r="V11" s="238">
        <f t="shared" si="0"/>
        <v>90202.820999999996</v>
      </c>
      <c r="W11" s="238">
        <f t="shared" si="0"/>
        <v>225277</v>
      </c>
      <c r="X11" s="189"/>
    </row>
    <row r="12" spans="1:25" s="1" customFormat="1" ht="34.5" customHeight="1" x14ac:dyDescent="0.25">
      <c r="A12" s="124" t="s">
        <v>76</v>
      </c>
      <c r="B12" s="388" t="s">
        <v>362</v>
      </c>
      <c r="C12" s="534"/>
      <c r="D12" s="534"/>
      <c r="E12" s="238">
        <f>SUM(E13:E20)</f>
        <v>8</v>
      </c>
      <c r="F12" s="238">
        <f t="shared" ref="F12:W12" si="1">SUM(F13:F20)</f>
        <v>189530</v>
      </c>
      <c r="G12" s="238">
        <f t="shared" si="1"/>
        <v>198597.83</v>
      </c>
      <c r="H12" s="238">
        <f t="shared" si="1"/>
        <v>10177</v>
      </c>
      <c r="I12" s="238">
        <f t="shared" si="1"/>
        <v>3000</v>
      </c>
      <c r="J12" s="238">
        <f t="shared" si="1"/>
        <v>10677</v>
      </c>
      <c r="K12" s="238">
        <f t="shared" si="1"/>
        <v>162600</v>
      </c>
      <c r="L12" s="238">
        <f t="shared" si="1"/>
        <v>46200</v>
      </c>
      <c r="M12" s="238">
        <f t="shared" si="1"/>
        <v>116400</v>
      </c>
      <c r="N12" s="238">
        <f t="shared" si="1"/>
        <v>79525.820999999996</v>
      </c>
      <c r="O12" s="238">
        <f t="shared" si="1"/>
        <v>45742</v>
      </c>
      <c r="P12" s="238">
        <f t="shared" si="1"/>
        <v>33783.820999999996</v>
      </c>
      <c r="Q12" s="238">
        <f t="shared" si="1"/>
        <v>162600</v>
      </c>
      <c r="R12" s="238">
        <f t="shared" si="1"/>
        <v>83074.179000000004</v>
      </c>
      <c r="S12" s="238">
        <f t="shared" si="1"/>
        <v>79525.820999999996</v>
      </c>
      <c r="T12" s="238">
        <f t="shared" si="1"/>
        <v>45742</v>
      </c>
      <c r="U12" s="238">
        <f t="shared" si="1"/>
        <v>33783.820999999996</v>
      </c>
      <c r="V12" s="238">
        <f t="shared" si="1"/>
        <v>90202.820999999996</v>
      </c>
      <c r="W12" s="238">
        <f t="shared" si="1"/>
        <v>173277</v>
      </c>
      <c r="X12" s="189"/>
    </row>
    <row r="13" spans="1:25" s="1" customFormat="1" ht="31.5" x14ac:dyDescent="0.25">
      <c r="A13" s="392">
        <v>1</v>
      </c>
      <c r="B13" s="21" t="s">
        <v>287</v>
      </c>
      <c r="C13" s="420" t="s">
        <v>209</v>
      </c>
      <c r="D13" s="240" t="s">
        <v>43</v>
      </c>
      <c r="E13" s="246">
        <v>1</v>
      </c>
      <c r="F13" s="242">
        <v>83800</v>
      </c>
      <c r="G13" s="242">
        <v>110590</v>
      </c>
      <c r="H13" s="242">
        <v>5000</v>
      </c>
      <c r="I13" s="243">
        <v>0</v>
      </c>
      <c r="J13" s="238">
        <f>5000-2500</f>
        <v>2500</v>
      </c>
      <c r="K13" s="243">
        <f>SUM(L13:M13)</f>
        <v>90600</v>
      </c>
      <c r="L13" s="243">
        <v>26400</v>
      </c>
      <c r="M13" s="243">
        <v>64200</v>
      </c>
      <c r="N13" s="243">
        <f>SUM(O13:P13)</f>
        <v>26400</v>
      </c>
      <c r="O13" s="243">
        <v>26400</v>
      </c>
      <c r="P13" s="243"/>
      <c r="Q13" s="378">
        <f>SUM(R13:S13)</f>
        <v>90600</v>
      </c>
      <c r="R13" s="238">
        <f>(L13-O13)+(M13-P13)</f>
        <v>64200</v>
      </c>
      <c r="S13" s="238">
        <f t="shared" ref="S13:S20" si="2">SUM(T13:U13)</f>
        <v>26400</v>
      </c>
      <c r="T13" s="238">
        <v>26400</v>
      </c>
      <c r="U13" s="238"/>
      <c r="V13" s="378">
        <f t="shared" ref="V13:V20" si="3">J13+S13</f>
        <v>28900</v>
      </c>
      <c r="W13" s="379">
        <f>+J13+Q13</f>
        <v>93100</v>
      </c>
      <c r="X13" s="247"/>
      <c r="Y13" s="1" t="s">
        <v>288</v>
      </c>
    </row>
    <row r="14" spans="1:25" s="1" customFormat="1" ht="47.25" x14ac:dyDescent="0.25">
      <c r="A14" s="392">
        <v>2</v>
      </c>
      <c r="B14" s="239" t="s">
        <v>483</v>
      </c>
      <c r="C14" s="420" t="s">
        <v>289</v>
      </c>
      <c r="D14" s="240" t="s">
        <v>43</v>
      </c>
      <c r="E14" s="241">
        <v>1</v>
      </c>
      <c r="F14" s="242">
        <v>17730</v>
      </c>
      <c r="G14" s="242">
        <v>13482</v>
      </c>
      <c r="H14" s="242">
        <f>1000-1000</f>
        <v>0</v>
      </c>
      <c r="I14" s="243">
        <v>0</v>
      </c>
      <c r="J14" s="238">
        <f>H14+I14</f>
        <v>0</v>
      </c>
      <c r="K14" s="243">
        <f t="shared" ref="K14:K25" si="4">SUM(L14:M14)</f>
        <v>12500</v>
      </c>
      <c r="L14" s="243">
        <v>4400</v>
      </c>
      <c r="M14" s="243">
        <v>8100</v>
      </c>
      <c r="N14" s="243">
        <f>SUM(O14:P14)</f>
        <v>6830</v>
      </c>
      <c r="O14" s="243">
        <v>4400</v>
      </c>
      <c r="P14" s="243">
        <v>2430</v>
      </c>
      <c r="Q14" s="378">
        <f t="shared" ref="Q14:Q25" si="5">SUM(R14:S14)</f>
        <v>12500</v>
      </c>
      <c r="R14" s="238">
        <f>(L14-O14)+(M14-P14)</f>
        <v>5670</v>
      </c>
      <c r="S14" s="238">
        <f t="shared" si="2"/>
        <v>6830</v>
      </c>
      <c r="T14" s="238">
        <v>4400</v>
      </c>
      <c r="U14" s="238">
        <v>2430</v>
      </c>
      <c r="V14" s="378">
        <f t="shared" si="3"/>
        <v>6830</v>
      </c>
      <c r="W14" s="379">
        <f t="shared" ref="W14:W26" si="6">+J14+Q14</f>
        <v>12500</v>
      </c>
      <c r="X14" s="244" t="s">
        <v>290</v>
      </c>
    </row>
    <row r="15" spans="1:25" s="33" customFormat="1" ht="45" x14ac:dyDescent="0.25">
      <c r="A15" s="392">
        <v>3</v>
      </c>
      <c r="B15" s="239" t="s">
        <v>484</v>
      </c>
      <c r="C15" s="420" t="s">
        <v>289</v>
      </c>
      <c r="D15" s="245" t="s">
        <v>43</v>
      </c>
      <c r="E15" s="246">
        <v>1</v>
      </c>
      <c r="F15" s="242">
        <v>15600</v>
      </c>
      <c r="G15" s="242">
        <v>12670</v>
      </c>
      <c r="H15" s="242">
        <v>1000</v>
      </c>
      <c r="I15" s="243">
        <v>0</v>
      </c>
      <c r="J15" s="238">
        <f t="shared" ref="J15:J25" si="7">H15+I15</f>
        <v>1000</v>
      </c>
      <c r="K15" s="243">
        <f t="shared" si="4"/>
        <v>11300</v>
      </c>
      <c r="L15" s="243">
        <v>3500</v>
      </c>
      <c r="M15" s="243">
        <v>7800</v>
      </c>
      <c r="N15" s="243">
        <f t="shared" ref="N15:N25" si="8">SUM(O15:P15)</f>
        <v>10170</v>
      </c>
      <c r="O15" s="243">
        <v>3089</v>
      </c>
      <c r="P15" s="243">
        <v>7081</v>
      </c>
      <c r="Q15" s="378">
        <f t="shared" si="5"/>
        <v>11300</v>
      </c>
      <c r="R15" s="238">
        <f t="shared" ref="R15:R25" si="9">(L15-O15)+(M15-P15)</f>
        <v>1130</v>
      </c>
      <c r="S15" s="238">
        <f t="shared" si="2"/>
        <v>10170</v>
      </c>
      <c r="T15" s="238">
        <v>3089</v>
      </c>
      <c r="U15" s="238">
        <v>7081</v>
      </c>
      <c r="V15" s="378">
        <f t="shared" si="3"/>
        <v>11170</v>
      </c>
      <c r="W15" s="379">
        <f t="shared" si="6"/>
        <v>12300</v>
      </c>
      <c r="X15" s="247" t="s">
        <v>291</v>
      </c>
    </row>
    <row r="16" spans="1:25" s="99" customFormat="1" ht="31.5" x14ac:dyDescent="0.25">
      <c r="A16" s="392">
        <v>4</v>
      </c>
      <c r="B16" s="36" t="s">
        <v>485</v>
      </c>
      <c r="C16" s="420" t="s">
        <v>219</v>
      </c>
      <c r="D16" s="240">
        <v>2023</v>
      </c>
      <c r="E16" s="241">
        <v>1</v>
      </c>
      <c r="F16" s="249">
        <v>11900</v>
      </c>
      <c r="G16" s="249">
        <v>10200</v>
      </c>
      <c r="H16" s="249"/>
      <c r="I16" s="243">
        <v>1000</v>
      </c>
      <c r="J16" s="238">
        <f t="shared" ref="J16:J20" si="10">H16+I16</f>
        <v>1000</v>
      </c>
      <c r="K16" s="243">
        <f t="shared" ref="K16:K20" si="11">SUM(L16:M16)</f>
        <v>8200</v>
      </c>
      <c r="L16" s="250">
        <v>2900</v>
      </c>
      <c r="M16" s="250">
        <v>5300</v>
      </c>
      <c r="N16" s="243">
        <f t="shared" ref="N16:N20" si="12">SUM(O16:P16)</f>
        <v>8190.8209999999999</v>
      </c>
      <c r="O16" s="250">
        <v>2900</v>
      </c>
      <c r="P16" s="250">
        <v>5290.8209999999999</v>
      </c>
      <c r="Q16" s="378">
        <f t="shared" ref="Q16:Q20" si="13">SUM(R16:S16)</f>
        <v>8200</v>
      </c>
      <c r="R16" s="238">
        <f t="shared" ref="R16:R20" si="14">(L16-O16)+(M16-P16)</f>
        <v>9.1790000000000873</v>
      </c>
      <c r="S16" s="238">
        <f t="shared" si="2"/>
        <v>8190.8209999999999</v>
      </c>
      <c r="T16" s="238">
        <v>2900</v>
      </c>
      <c r="U16" s="238">
        <v>5290.8209999999999</v>
      </c>
      <c r="V16" s="378">
        <f t="shared" si="3"/>
        <v>9190.8209999999999</v>
      </c>
      <c r="W16" s="379">
        <f t="shared" si="6"/>
        <v>9200</v>
      </c>
    </row>
    <row r="17" spans="1:25" s="106" customFormat="1" ht="31.5" x14ac:dyDescent="0.25">
      <c r="A17" s="392">
        <v>5</v>
      </c>
      <c r="B17" s="251" t="s">
        <v>486</v>
      </c>
      <c r="C17" s="421" t="s">
        <v>217</v>
      </c>
      <c r="D17" s="252"/>
      <c r="E17" s="253">
        <v>1</v>
      </c>
      <c r="F17" s="254">
        <v>16000</v>
      </c>
      <c r="G17" s="254">
        <v>12486</v>
      </c>
      <c r="H17" s="254">
        <v>3177</v>
      </c>
      <c r="I17" s="243">
        <v>0</v>
      </c>
      <c r="J17" s="238">
        <f t="shared" si="10"/>
        <v>3177</v>
      </c>
      <c r="K17" s="243">
        <f t="shared" si="11"/>
        <v>6600</v>
      </c>
      <c r="L17" s="255">
        <v>0</v>
      </c>
      <c r="M17" s="255">
        <v>6600</v>
      </c>
      <c r="N17" s="243">
        <f t="shared" si="12"/>
        <v>6164</v>
      </c>
      <c r="O17" s="255"/>
      <c r="P17" s="255">
        <v>6164</v>
      </c>
      <c r="Q17" s="378">
        <f t="shared" si="13"/>
        <v>6600</v>
      </c>
      <c r="R17" s="238">
        <f t="shared" si="14"/>
        <v>436</v>
      </c>
      <c r="S17" s="238">
        <f t="shared" si="2"/>
        <v>6164</v>
      </c>
      <c r="T17" s="238"/>
      <c r="U17" s="238">
        <v>6164</v>
      </c>
      <c r="V17" s="378">
        <f t="shared" si="3"/>
        <v>9341</v>
      </c>
      <c r="W17" s="379">
        <f t="shared" si="6"/>
        <v>9777</v>
      </c>
    </row>
    <row r="18" spans="1:25" s="106" customFormat="1" ht="31.5" x14ac:dyDescent="0.25">
      <c r="A18" s="392">
        <v>6</v>
      </c>
      <c r="B18" s="36" t="s">
        <v>487</v>
      </c>
      <c r="C18" s="420" t="s">
        <v>214</v>
      </c>
      <c r="D18" s="240">
        <v>2023</v>
      </c>
      <c r="E18" s="241">
        <v>1</v>
      </c>
      <c r="F18" s="254">
        <v>16000</v>
      </c>
      <c r="G18" s="254">
        <v>14960</v>
      </c>
      <c r="H18" s="254"/>
      <c r="I18" s="243">
        <v>1000</v>
      </c>
      <c r="J18" s="238">
        <f t="shared" si="10"/>
        <v>1000</v>
      </c>
      <c r="K18" s="243">
        <f t="shared" si="11"/>
        <v>13700</v>
      </c>
      <c r="L18" s="250">
        <v>4700</v>
      </c>
      <c r="M18" s="250">
        <v>9000</v>
      </c>
      <c r="N18" s="243">
        <f t="shared" si="12"/>
        <v>7371</v>
      </c>
      <c r="O18" s="250">
        <v>4653</v>
      </c>
      <c r="P18" s="250">
        <v>2718</v>
      </c>
      <c r="Q18" s="378">
        <f t="shared" si="13"/>
        <v>13700</v>
      </c>
      <c r="R18" s="238">
        <f t="shared" si="14"/>
        <v>6329</v>
      </c>
      <c r="S18" s="238">
        <f t="shared" si="2"/>
        <v>7371</v>
      </c>
      <c r="T18" s="238">
        <v>4653</v>
      </c>
      <c r="U18" s="238">
        <v>2718</v>
      </c>
      <c r="V18" s="378">
        <f t="shared" si="3"/>
        <v>8371</v>
      </c>
      <c r="W18" s="379">
        <f t="shared" si="6"/>
        <v>14700</v>
      </c>
    </row>
    <row r="19" spans="1:25" s="105" customFormat="1" ht="33" customHeight="1" x14ac:dyDescent="0.25">
      <c r="A19" s="392">
        <v>7</v>
      </c>
      <c r="B19" s="36" t="s">
        <v>488</v>
      </c>
      <c r="C19" s="420" t="s">
        <v>228</v>
      </c>
      <c r="D19" s="240">
        <v>2023</v>
      </c>
      <c r="E19" s="246">
        <v>1</v>
      </c>
      <c r="F19" s="257">
        <v>14000</v>
      </c>
      <c r="G19" s="257">
        <v>9452.83</v>
      </c>
      <c r="H19" s="257"/>
      <c r="I19" s="243">
        <v>1000</v>
      </c>
      <c r="J19" s="238">
        <f t="shared" si="10"/>
        <v>1000</v>
      </c>
      <c r="K19" s="243">
        <f t="shared" si="11"/>
        <v>8300</v>
      </c>
      <c r="L19" s="250">
        <v>3000</v>
      </c>
      <c r="M19" s="250">
        <v>5300</v>
      </c>
      <c r="N19" s="243">
        <f t="shared" si="12"/>
        <v>3000</v>
      </c>
      <c r="O19" s="250">
        <v>3000</v>
      </c>
      <c r="P19" s="250"/>
      <c r="Q19" s="378">
        <f t="shared" si="13"/>
        <v>8300</v>
      </c>
      <c r="R19" s="238">
        <f t="shared" si="14"/>
        <v>5300</v>
      </c>
      <c r="S19" s="238">
        <f t="shared" si="2"/>
        <v>3000</v>
      </c>
      <c r="T19" s="238">
        <v>3000</v>
      </c>
      <c r="U19" s="238">
        <v>0</v>
      </c>
      <c r="V19" s="378">
        <f t="shared" si="3"/>
        <v>4000</v>
      </c>
      <c r="W19" s="379">
        <f t="shared" si="6"/>
        <v>9300</v>
      </c>
    </row>
    <row r="20" spans="1:25" s="1" customFormat="1" ht="31.5" x14ac:dyDescent="0.25">
      <c r="A20" s="392">
        <v>8</v>
      </c>
      <c r="B20" s="239" t="s">
        <v>489</v>
      </c>
      <c r="C20" s="420" t="s">
        <v>226</v>
      </c>
      <c r="D20" s="248" t="s">
        <v>43</v>
      </c>
      <c r="E20" s="241">
        <v>1</v>
      </c>
      <c r="F20" s="242">
        <v>14500</v>
      </c>
      <c r="G20" s="242">
        <v>14757</v>
      </c>
      <c r="H20" s="242">
        <v>1000</v>
      </c>
      <c r="I20" s="243">
        <v>0</v>
      </c>
      <c r="J20" s="238">
        <f t="shared" si="10"/>
        <v>1000</v>
      </c>
      <c r="K20" s="243">
        <f t="shared" si="11"/>
        <v>11400</v>
      </c>
      <c r="L20" s="243">
        <v>1300</v>
      </c>
      <c r="M20" s="243">
        <v>10100</v>
      </c>
      <c r="N20" s="243">
        <f t="shared" si="12"/>
        <v>11400</v>
      </c>
      <c r="O20" s="243">
        <v>1300</v>
      </c>
      <c r="P20" s="243">
        <v>10100</v>
      </c>
      <c r="Q20" s="378">
        <f t="shared" si="13"/>
        <v>11400</v>
      </c>
      <c r="R20" s="238">
        <f t="shared" si="14"/>
        <v>0</v>
      </c>
      <c r="S20" s="238">
        <f t="shared" si="2"/>
        <v>11400</v>
      </c>
      <c r="T20" s="238">
        <v>1300</v>
      </c>
      <c r="U20" s="238">
        <v>10100</v>
      </c>
      <c r="V20" s="378">
        <f t="shared" si="3"/>
        <v>12400</v>
      </c>
      <c r="W20" s="379">
        <f t="shared" si="6"/>
        <v>12400</v>
      </c>
      <c r="X20" s="244" t="s">
        <v>294</v>
      </c>
      <c r="Y20" s="1" t="s">
        <v>295</v>
      </c>
    </row>
    <row r="21" spans="1:25" s="33" customFormat="1" ht="31.5" x14ac:dyDescent="0.25">
      <c r="A21" s="393" t="s">
        <v>74</v>
      </c>
      <c r="B21" s="388" t="s">
        <v>363</v>
      </c>
      <c r="C21" s="534"/>
      <c r="D21" s="389"/>
      <c r="E21" s="391">
        <f t="shared" ref="E21:V21" si="15">SUM(E22:E26)</f>
        <v>5</v>
      </c>
      <c r="F21" s="391">
        <f t="shared" si="15"/>
        <v>87200</v>
      </c>
      <c r="G21" s="391">
        <f t="shared" si="15"/>
        <v>70095</v>
      </c>
      <c r="H21" s="391">
        <f t="shared" si="15"/>
        <v>0</v>
      </c>
      <c r="I21" s="391">
        <f t="shared" si="15"/>
        <v>0</v>
      </c>
      <c r="J21" s="391">
        <f t="shared" si="15"/>
        <v>0</v>
      </c>
      <c r="K21" s="391">
        <f t="shared" si="15"/>
        <v>52000</v>
      </c>
      <c r="L21" s="391">
        <f t="shared" si="15"/>
        <v>19000</v>
      </c>
      <c r="M21" s="391">
        <f t="shared" si="15"/>
        <v>33000</v>
      </c>
      <c r="N21" s="391">
        <f t="shared" si="15"/>
        <v>0</v>
      </c>
      <c r="O21" s="391">
        <f t="shared" si="15"/>
        <v>0</v>
      </c>
      <c r="P21" s="391">
        <f t="shared" si="15"/>
        <v>0</v>
      </c>
      <c r="Q21" s="391">
        <f t="shared" si="15"/>
        <v>52000</v>
      </c>
      <c r="R21" s="391">
        <f t="shared" si="15"/>
        <v>52000</v>
      </c>
      <c r="S21" s="391">
        <f t="shared" si="15"/>
        <v>0</v>
      </c>
      <c r="T21" s="391">
        <f t="shared" si="15"/>
        <v>0</v>
      </c>
      <c r="U21" s="391">
        <f t="shared" si="15"/>
        <v>0</v>
      </c>
      <c r="V21" s="391">
        <f t="shared" si="15"/>
        <v>0</v>
      </c>
      <c r="W21" s="379">
        <f t="shared" si="6"/>
        <v>52000</v>
      </c>
      <c r="X21" s="390"/>
    </row>
    <row r="22" spans="1:25" s="1" customFormat="1" ht="45" x14ac:dyDescent="0.25">
      <c r="A22" s="392">
        <v>1</v>
      </c>
      <c r="B22" s="239" t="s">
        <v>86</v>
      </c>
      <c r="C22" s="420" t="s">
        <v>289</v>
      </c>
      <c r="D22" s="248" t="s">
        <v>43</v>
      </c>
      <c r="E22" s="241">
        <v>1</v>
      </c>
      <c r="F22" s="242">
        <v>24200</v>
      </c>
      <c r="G22" s="242">
        <v>25188</v>
      </c>
      <c r="H22" s="242">
        <f>6500-6500</f>
        <v>0</v>
      </c>
      <c r="I22" s="243">
        <v>0</v>
      </c>
      <c r="J22" s="238">
        <f t="shared" si="7"/>
        <v>0</v>
      </c>
      <c r="K22" s="243">
        <f t="shared" si="4"/>
        <v>16300</v>
      </c>
      <c r="L22" s="243">
        <v>1500</v>
      </c>
      <c r="M22" s="243">
        <v>14800</v>
      </c>
      <c r="N22" s="243">
        <f t="shared" si="8"/>
        <v>0</v>
      </c>
      <c r="O22" s="243"/>
      <c r="P22" s="243"/>
      <c r="Q22" s="378">
        <f t="shared" si="5"/>
        <v>16300</v>
      </c>
      <c r="R22" s="238">
        <f t="shared" si="9"/>
        <v>16300</v>
      </c>
      <c r="S22" s="238">
        <f>SUM(T22:U22)</f>
        <v>0</v>
      </c>
      <c r="T22" s="238"/>
      <c r="U22" s="238"/>
      <c r="V22" s="378">
        <f>J22+S22</f>
        <v>0</v>
      </c>
      <c r="W22" s="379">
        <f t="shared" si="6"/>
        <v>16300</v>
      </c>
      <c r="X22" s="247" t="s">
        <v>292</v>
      </c>
    </row>
    <row r="23" spans="1:25" s="99" customFormat="1" ht="45" x14ac:dyDescent="0.25">
      <c r="A23" s="392">
        <v>2</v>
      </c>
      <c r="B23" s="36" t="s">
        <v>490</v>
      </c>
      <c r="C23" s="420" t="s">
        <v>289</v>
      </c>
      <c r="D23" s="240">
        <v>2023</v>
      </c>
      <c r="E23" s="246">
        <v>1</v>
      </c>
      <c r="F23" s="249">
        <v>30000</v>
      </c>
      <c r="G23" s="249">
        <v>14018</v>
      </c>
      <c r="H23" s="249">
        <f>1000-1000</f>
        <v>0</v>
      </c>
      <c r="I23" s="243">
        <f>500-500</f>
        <v>0</v>
      </c>
      <c r="J23" s="238">
        <f t="shared" si="7"/>
        <v>0</v>
      </c>
      <c r="K23" s="243">
        <f t="shared" si="4"/>
        <v>12600</v>
      </c>
      <c r="L23" s="250">
        <v>5700</v>
      </c>
      <c r="M23" s="250">
        <v>6900</v>
      </c>
      <c r="N23" s="243">
        <f t="shared" si="8"/>
        <v>0</v>
      </c>
      <c r="O23" s="250"/>
      <c r="P23" s="250"/>
      <c r="Q23" s="378">
        <f t="shared" si="5"/>
        <v>12600</v>
      </c>
      <c r="R23" s="238">
        <f t="shared" si="9"/>
        <v>12600</v>
      </c>
      <c r="S23" s="238">
        <f>SUM(T23:U23)</f>
        <v>0</v>
      </c>
      <c r="T23" s="238"/>
      <c r="U23" s="238"/>
      <c r="V23" s="378">
        <f>J23+S23</f>
        <v>0</v>
      </c>
      <c r="W23" s="379">
        <f t="shared" si="6"/>
        <v>12600</v>
      </c>
    </row>
    <row r="24" spans="1:25" s="1" customFormat="1" ht="52.5" customHeight="1" x14ac:dyDescent="0.25">
      <c r="A24" s="392">
        <v>3</v>
      </c>
      <c r="B24" s="34" t="s">
        <v>491</v>
      </c>
      <c r="C24" s="420" t="s">
        <v>289</v>
      </c>
      <c r="D24" s="256" t="s">
        <v>43</v>
      </c>
      <c r="E24" s="241">
        <v>1</v>
      </c>
      <c r="F24" s="242">
        <v>10000</v>
      </c>
      <c r="G24" s="242">
        <v>10000</v>
      </c>
      <c r="H24" s="242">
        <f>500-500</f>
        <v>0</v>
      </c>
      <c r="I24" s="243">
        <v>0</v>
      </c>
      <c r="J24" s="238">
        <f t="shared" si="7"/>
        <v>0</v>
      </c>
      <c r="K24" s="243">
        <f t="shared" si="4"/>
        <v>8200</v>
      </c>
      <c r="L24" s="243">
        <v>4900</v>
      </c>
      <c r="M24" s="243">
        <v>3300</v>
      </c>
      <c r="N24" s="243">
        <f t="shared" si="8"/>
        <v>0</v>
      </c>
      <c r="O24" s="243"/>
      <c r="P24" s="243"/>
      <c r="Q24" s="378">
        <f t="shared" si="5"/>
        <v>8200</v>
      </c>
      <c r="R24" s="238">
        <f t="shared" si="9"/>
        <v>8200</v>
      </c>
      <c r="S24" s="238">
        <f>SUM(T24:U24)</f>
        <v>0</v>
      </c>
      <c r="T24" s="238"/>
      <c r="U24" s="238"/>
      <c r="V24" s="378">
        <f>J24+S24</f>
        <v>0</v>
      </c>
      <c r="W24" s="379">
        <f t="shared" si="6"/>
        <v>8200</v>
      </c>
      <c r="X24" s="244" t="s">
        <v>293</v>
      </c>
    </row>
    <row r="25" spans="1:25" s="1" customFormat="1" ht="31.5" x14ac:dyDescent="0.25">
      <c r="A25" s="392">
        <v>4</v>
      </c>
      <c r="B25" s="34" t="s">
        <v>492</v>
      </c>
      <c r="C25" s="420" t="s">
        <v>215</v>
      </c>
      <c r="D25" s="256"/>
      <c r="E25" s="246">
        <v>1</v>
      </c>
      <c r="F25" s="242">
        <v>15000</v>
      </c>
      <c r="G25" s="242">
        <v>12570</v>
      </c>
      <c r="H25" s="242">
        <f>1500-1500</f>
        <v>0</v>
      </c>
      <c r="I25" s="243">
        <v>0</v>
      </c>
      <c r="J25" s="238">
        <f t="shared" si="7"/>
        <v>0</v>
      </c>
      <c r="K25" s="243">
        <f t="shared" si="4"/>
        <v>10400</v>
      </c>
      <c r="L25" s="243">
        <v>4500</v>
      </c>
      <c r="M25" s="243">
        <v>5900</v>
      </c>
      <c r="N25" s="243">
        <f t="shared" si="8"/>
        <v>0</v>
      </c>
      <c r="O25" s="243"/>
      <c r="P25" s="243"/>
      <c r="Q25" s="378">
        <f t="shared" si="5"/>
        <v>10400</v>
      </c>
      <c r="R25" s="238">
        <f t="shared" si="9"/>
        <v>10400</v>
      </c>
      <c r="S25" s="238">
        <f>SUM(T25:U25)</f>
        <v>0</v>
      </c>
      <c r="T25" s="238"/>
      <c r="U25" s="238"/>
      <c r="V25" s="378">
        <f>J25+S25</f>
        <v>0</v>
      </c>
      <c r="W25" s="379">
        <f t="shared" si="6"/>
        <v>10400</v>
      </c>
      <c r="X25" s="244"/>
    </row>
    <row r="26" spans="1:25" s="1" customFormat="1" ht="49.5" customHeight="1" x14ac:dyDescent="0.25">
      <c r="A26" s="392">
        <v>5</v>
      </c>
      <c r="B26" s="239" t="s">
        <v>493</v>
      </c>
      <c r="C26" s="420" t="s">
        <v>289</v>
      </c>
      <c r="D26" s="240" t="s">
        <v>43</v>
      </c>
      <c r="E26" s="246">
        <v>1</v>
      </c>
      <c r="F26" s="242">
        <v>8000</v>
      </c>
      <c r="G26" s="242">
        <v>8319</v>
      </c>
      <c r="H26" s="242">
        <f>3000-3000</f>
        <v>0</v>
      </c>
      <c r="I26" s="243">
        <v>0</v>
      </c>
      <c r="J26" s="238">
        <f t="shared" ref="J26" si="16">H26+I26</f>
        <v>0</v>
      </c>
      <c r="K26" s="243">
        <f t="shared" ref="K26" si="17">SUM(L26:M26)</f>
        <v>4500</v>
      </c>
      <c r="L26" s="243">
        <v>2400</v>
      </c>
      <c r="M26" s="243">
        <v>2100</v>
      </c>
      <c r="N26" s="243"/>
      <c r="O26" s="243"/>
      <c r="P26" s="243"/>
      <c r="Q26" s="378">
        <f t="shared" ref="Q26" si="18">SUM(R26:S26)</f>
        <v>4500</v>
      </c>
      <c r="R26" s="238">
        <v>4500</v>
      </c>
      <c r="S26" s="238"/>
      <c r="T26" s="238"/>
      <c r="U26" s="238"/>
      <c r="V26" s="378">
        <f>J26+S26</f>
        <v>0</v>
      </c>
      <c r="W26" s="379">
        <f t="shared" si="6"/>
        <v>4500</v>
      </c>
      <c r="X26" s="247"/>
      <c r="Y26" s="1" t="s">
        <v>288</v>
      </c>
    </row>
    <row r="47" spans="2:2" x14ac:dyDescent="0.3">
      <c r="B47" s="261"/>
    </row>
  </sheetData>
  <mergeCells count="32">
    <mergeCell ref="L6:M6"/>
    <mergeCell ref="G6:G9"/>
    <mergeCell ref="H6:H9"/>
    <mergeCell ref="Q6:U6"/>
    <mergeCell ref="L7:L9"/>
    <mergeCell ref="M7:M9"/>
    <mergeCell ref="Q7:Q9"/>
    <mergeCell ref="R7:R9"/>
    <mergeCell ref="S7:S9"/>
    <mergeCell ref="T8:T9"/>
    <mergeCell ref="U8:U9"/>
    <mergeCell ref="T7:U7"/>
    <mergeCell ref="N6:N9"/>
    <mergeCell ref="O6:P6"/>
    <mergeCell ref="O7:O9"/>
    <mergeCell ref="P7:P9"/>
    <mergeCell ref="V1:W1"/>
    <mergeCell ref="A3:W3"/>
    <mergeCell ref="A4:W4"/>
    <mergeCell ref="A5:B5"/>
    <mergeCell ref="A6:A9"/>
    <mergeCell ref="B6:B9"/>
    <mergeCell ref="C6:C9"/>
    <mergeCell ref="D6:D9"/>
    <mergeCell ref="E6:E9"/>
    <mergeCell ref="F6:F9"/>
    <mergeCell ref="V6:V9"/>
    <mergeCell ref="W6:W9"/>
    <mergeCell ref="U2:V2"/>
    <mergeCell ref="I6:I9"/>
    <mergeCell ref="J6:J9"/>
    <mergeCell ref="K6:K9"/>
  </mergeCells>
  <pageMargins left="0.53" right="0.19685039370078741" top="0.39370078740157483" bottom="0.35433070866141736" header="0.31496062992125984" footer="0.31496062992125984"/>
  <pageSetup paperSize="9" scale="70" fitToHeight="0" orientation="landscape" r:id="rId1"/>
  <headerFooter>
    <oddFooter>&amp;A&amp;RPage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6"/>
  <sheetViews>
    <sheetView zoomScale="80" zoomScaleNormal="80" workbookViewId="0">
      <pane xSplit="23" ySplit="9" topLeftCell="X127" activePane="bottomRight" state="frozen"/>
      <selection pane="topRight" activeCell="Q1" sqref="Q1"/>
      <selection pane="bottomLeft" activeCell="A10" sqref="A10"/>
      <selection pane="bottomRight" activeCell="O119" sqref="O119"/>
    </sheetView>
  </sheetViews>
  <sheetFormatPr defaultRowHeight="15.75" x14ac:dyDescent="0.25"/>
  <cols>
    <col min="1" max="1" width="5.140625" style="159" customWidth="1"/>
    <col min="2" max="2" width="31.140625" style="72" customWidth="1"/>
    <col min="3" max="3" width="11.140625" style="72" customWidth="1"/>
    <col min="4" max="4" width="6.42578125" style="72" customWidth="1"/>
    <col min="5" max="5" width="5.42578125" style="72" customWidth="1"/>
    <col min="6" max="6" width="11.5703125" style="72" customWidth="1"/>
    <col min="7" max="7" width="9.5703125" style="72" hidden="1" customWidth="1"/>
    <col min="8" max="8" width="11.7109375" style="72" hidden="1" customWidth="1"/>
    <col min="9" max="9" width="5.85546875" style="72" hidden="1" customWidth="1"/>
    <col min="10" max="11" width="10.28515625" style="72" hidden="1" customWidth="1"/>
    <col min="12" max="12" width="9.5703125" style="72" hidden="1" customWidth="1"/>
    <col min="13" max="13" width="9.7109375" style="72" hidden="1" customWidth="1"/>
    <col min="14" max="14" width="10.7109375" style="72" customWidth="1"/>
    <col min="15" max="15" width="11" style="72" customWidth="1"/>
    <col min="16" max="17" width="9.7109375" style="72" customWidth="1"/>
    <col min="18" max="18" width="9.7109375" style="90" customWidth="1"/>
    <col min="19" max="19" width="9.7109375" style="72" hidden="1" customWidth="1"/>
    <col min="20" max="21" width="9.7109375" style="72" customWidth="1"/>
    <col min="22" max="22" width="11.7109375" style="72" customWidth="1"/>
    <col min="23" max="23" width="24.140625" style="72" customWidth="1"/>
    <col min="24" max="24" width="11.85546875" style="72" customWidth="1"/>
    <col min="25" max="25" width="15.42578125" style="72" customWidth="1"/>
    <col min="26" max="26" width="16" style="72" customWidth="1"/>
    <col min="27" max="16384" width="9.140625" style="72"/>
  </cols>
  <sheetData>
    <row r="1" spans="1:26" ht="20.25" customHeight="1" x14ac:dyDescent="0.25">
      <c r="L1" s="615" t="s">
        <v>199</v>
      </c>
      <c r="M1" s="615"/>
      <c r="N1" s="615"/>
      <c r="O1" s="615"/>
      <c r="P1" s="615"/>
      <c r="Q1" s="615"/>
      <c r="R1" s="615"/>
      <c r="S1" s="615"/>
      <c r="T1" s="615"/>
      <c r="U1" s="615"/>
      <c r="V1" s="615"/>
      <c r="W1" s="615"/>
    </row>
    <row r="2" spans="1:26" s="5" customFormat="1" ht="29.25" customHeight="1" x14ac:dyDescent="0.2">
      <c r="A2" s="659" t="s">
        <v>203</v>
      </c>
      <c r="B2" s="659"/>
      <c r="C2" s="659"/>
      <c r="D2" s="659"/>
      <c r="E2" s="659"/>
      <c r="F2" s="659"/>
      <c r="G2" s="659"/>
      <c r="H2" s="659"/>
      <c r="I2" s="659"/>
      <c r="J2" s="659"/>
      <c r="K2" s="659"/>
      <c r="L2" s="659"/>
      <c r="M2" s="659"/>
      <c r="N2" s="659"/>
      <c r="O2" s="659"/>
      <c r="P2" s="659"/>
      <c r="Q2" s="659"/>
      <c r="R2" s="659"/>
      <c r="S2" s="659"/>
      <c r="T2" s="659"/>
      <c r="U2" s="659"/>
      <c r="V2" s="659"/>
      <c r="W2" s="659"/>
    </row>
    <row r="3" spans="1:26" s="5" customFormat="1" ht="16.5" customHeight="1" x14ac:dyDescent="0.2">
      <c r="A3" s="660" t="str">
        <f>'Tổng hợp KHV 2024'!A3:W3</f>
        <v>(Kèm theo Kế hoạch số ……./KH-UBND ngày ……./……/2023 của UBND huyện Tân Yên)</v>
      </c>
      <c r="B3" s="660"/>
      <c r="C3" s="660"/>
      <c r="D3" s="660"/>
      <c r="E3" s="660"/>
      <c r="F3" s="660"/>
      <c r="G3" s="660"/>
      <c r="H3" s="660"/>
      <c r="I3" s="660"/>
      <c r="J3" s="660"/>
      <c r="K3" s="660"/>
      <c r="L3" s="660"/>
      <c r="M3" s="660"/>
      <c r="N3" s="660"/>
      <c r="O3" s="660"/>
      <c r="P3" s="660"/>
      <c r="Q3" s="660"/>
      <c r="R3" s="660"/>
      <c r="S3" s="660"/>
      <c r="T3" s="660"/>
      <c r="U3" s="660"/>
      <c r="V3" s="660"/>
      <c r="W3" s="660"/>
    </row>
    <row r="4" spans="1:26" s="4" customFormat="1" x14ac:dyDescent="0.2">
      <c r="A4" s="661" t="s">
        <v>36</v>
      </c>
      <c r="B4" s="661"/>
      <c r="C4" s="661"/>
      <c r="D4" s="661"/>
      <c r="E4" s="661"/>
      <c r="F4" s="661"/>
      <c r="G4" s="661"/>
      <c r="H4" s="661"/>
      <c r="I4" s="661"/>
      <c r="J4" s="661"/>
      <c r="K4" s="661"/>
      <c r="L4" s="661"/>
      <c r="M4" s="661"/>
      <c r="N4" s="661"/>
      <c r="O4" s="661"/>
      <c r="P4" s="661"/>
      <c r="Q4" s="661"/>
      <c r="R4" s="661"/>
      <c r="S4" s="661"/>
      <c r="T4" s="661"/>
      <c r="U4" s="661"/>
      <c r="V4" s="661"/>
      <c r="W4" s="661"/>
    </row>
    <row r="5" spans="1:26" s="335" customFormat="1" ht="12.75" customHeight="1" x14ac:dyDescent="0.2">
      <c r="A5" s="663" t="s">
        <v>35</v>
      </c>
      <c r="B5" s="645" t="s">
        <v>34</v>
      </c>
      <c r="C5" s="663" t="s">
        <v>152</v>
      </c>
      <c r="D5" s="663" t="s">
        <v>33</v>
      </c>
      <c r="E5" s="645" t="s">
        <v>32</v>
      </c>
      <c r="F5" s="645" t="s">
        <v>31</v>
      </c>
      <c r="G5" s="666" t="s">
        <v>63</v>
      </c>
      <c r="H5" s="662" t="s">
        <v>122</v>
      </c>
      <c r="I5" s="662"/>
      <c r="J5" s="662"/>
      <c r="K5" s="662"/>
      <c r="L5" s="662"/>
      <c r="M5" s="662"/>
      <c r="N5" s="645" t="s">
        <v>231</v>
      </c>
      <c r="O5" s="651" t="s">
        <v>145</v>
      </c>
      <c r="P5" s="652"/>
      <c r="Q5" s="652"/>
      <c r="R5" s="652"/>
      <c r="S5" s="652"/>
      <c r="T5" s="652"/>
      <c r="U5" s="653"/>
      <c r="V5" s="645" t="s">
        <v>141</v>
      </c>
      <c r="W5" s="645" t="s">
        <v>30</v>
      </c>
    </row>
    <row r="6" spans="1:26" s="336" customFormat="1" ht="12.75" customHeight="1" x14ac:dyDescent="0.2">
      <c r="A6" s="664"/>
      <c r="B6" s="646"/>
      <c r="C6" s="664"/>
      <c r="D6" s="664"/>
      <c r="E6" s="646"/>
      <c r="F6" s="646"/>
      <c r="G6" s="667"/>
      <c r="H6" s="662"/>
      <c r="I6" s="662"/>
      <c r="J6" s="662"/>
      <c r="K6" s="662"/>
      <c r="L6" s="662"/>
      <c r="M6" s="662"/>
      <c r="N6" s="646"/>
      <c r="O6" s="654"/>
      <c r="P6" s="655"/>
      <c r="Q6" s="655"/>
      <c r="R6" s="655"/>
      <c r="S6" s="655"/>
      <c r="T6" s="655"/>
      <c r="U6" s="656"/>
      <c r="V6" s="646"/>
      <c r="W6" s="646"/>
    </row>
    <row r="7" spans="1:26" s="336" customFormat="1" ht="12.75" customHeight="1" x14ac:dyDescent="0.2">
      <c r="A7" s="664"/>
      <c r="B7" s="646"/>
      <c r="C7" s="664"/>
      <c r="D7" s="664"/>
      <c r="E7" s="646"/>
      <c r="F7" s="646"/>
      <c r="G7" s="667"/>
      <c r="H7" s="645" t="s">
        <v>29</v>
      </c>
      <c r="I7" s="645" t="s">
        <v>28</v>
      </c>
      <c r="J7" s="645" t="s">
        <v>27</v>
      </c>
      <c r="K7" s="645" t="s">
        <v>26</v>
      </c>
      <c r="L7" s="648" t="s">
        <v>25</v>
      </c>
      <c r="M7" s="645" t="s">
        <v>24</v>
      </c>
      <c r="N7" s="646"/>
      <c r="O7" s="645" t="s">
        <v>146</v>
      </c>
      <c r="P7" s="651" t="s">
        <v>40</v>
      </c>
      <c r="Q7" s="652"/>
      <c r="R7" s="652"/>
      <c r="S7" s="652"/>
      <c r="T7" s="652"/>
      <c r="U7" s="653"/>
      <c r="V7" s="646"/>
      <c r="W7" s="646"/>
    </row>
    <row r="8" spans="1:26" s="336" customFormat="1" ht="12.75" customHeight="1" x14ac:dyDescent="0.2">
      <c r="A8" s="664"/>
      <c r="B8" s="646"/>
      <c r="C8" s="664"/>
      <c r="D8" s="664"/>
      <c r="E8" s="646"/>
      <c r="F8" s="646"/>
      <c r="G8" s="667"/>
      <c r="H8" s="646"/>
      <c r="I8" s="646"/>
      <c r="J8" s="646"/>
      <c r="K8" s="646"/>
      <c r="L8" s="649"/>
      <c r="M8" s="646"/>
      <c r="N8" s="646"/>
      <c r="O8" s="646"/>
      <c r="P8" s="654"/>
      <c r="Q8" s="655"/>
      <c r="R8" s="655"/>
      <c r="S8" s="655"/>
      <c r="T8" s="655"/>
      <c r="U8" s="656"/>
      <c r="V8" s="646"/>
      <c r="W8" s="646"/>
    </row>
    <row r="9" spans="1:26" s="336" customFormat="1" ht="75.75" customHeight="1" x14ac:dyDescent="0.2">
      <c r="A9" s="665"/>
      <c r="B9" s="646"/>
      <c r="C9" s="665"/>
      <c r="D9" s="665"/>
      <c r="E9" s="647"/>
      <c r="F9" s="647"/>
      <c r="G9" s="668"/>
      <c r="H9" s="647"/>
      <c r="I9" s="647"/>
      <c r="J9" s="647"/>
      <c r="K9" s="647"/>
      <c r="L9" s="650"/>
      <c r="M9" s="647"/>
      <c r="N9" s="647"/>
      <c r="O9" s="647"/>
      <c r="P9" s="551" t="s">
        <v>147</v>
      </c>
      <c r="Q9" s="551" t="s">
        <v>148</v>
      </c>
      <c r="R9" s="374" t="s">
        <v>149</v>
      </c>
      <c r="S9" s="551"/>
      <c r="T9" s="551" t="s">
        <v>150</v>
      </c>
      <c r="U9" s="551" t="s">
        <v>151</v>
      </c>
      <c r="V9" s="647"/>
      <c r="W9" s="647"/>
    </row>
    <row r="10" spans="1:26" s="336" customFormat="1" ht="26.25" hidden="1" customHeight="1" x14ac:dyDescent="0.2">
      <c r="A10" s="337">
        <v>1</v>
      </c>
      <c r="B10" s="338">
        <v>2</v>
      </c>
      <c r="C10" s="337">
        <v>3</v>
      </c>
      <c r="D10" s="337">
        <v>4</v>
      </c>
      <c r="E10" s="339">
        <v>5</v>
      </c>
      <c r="F10" s="339">
        <v>6</v>
      </c>
      <c r="G10" s="340">
        <v>7</v>
      </c>
      <c r="H10" s="339">
        <v>8</v>
      </c>
      <c r="I10" s="339">
        <v>9</v>
      </c>
      <c r="J10" s="339">
        <v>10</v>
      </c>
      <c r="K10" s="339">
        <v>11</v>
      </c>
      <c r="L10" s="341">
        <v>12</v>
      </c>
      <c r="M10" s="339">
        <v>13</v>
      </c>
      <c r="N10" s="551">
        <v>14</v>
      </c>
      <c r="O10" s="551">
        <v>15</v>
      </c>
      <c r="P10" s="551">
        <v>16</v>
      </c>
      <c r="Q10" s="551">
        <v>17</v>
      </c>
      <c r="R10" s="374">
        <v>18</v>
      </c>
      <c r="S10" s="551"/>
      <c r="T10" s="551">
        <v>19</v>
      </c>
      <c r="U10" s="551">
        <v>20</v>
      </c>
      <c r="V10" s="551">
        <v>21</v>
      </c>
      <c r="W10" s="339">
        <v>22</v>
      </c>
    </row>
    <row r="11" spans="1:26" s="159" customFormat="1" ht="20.25" customHeight="1" x14ac:dyDescent="0.25">
      <c r="A11" s="11"/>
      <c r="B11" s="14" t="s">
        <v>23</v>
      </c>
      <c r="C11" s="15"/>
      <c r="D11" s="342"/>
      <c r="E11" s="76">
        <f t="shared" ref="E11:R11" si="0">E12+E19+E26+E31+E36+E42+E45+E50+E54+E60+E66+E75+E80+E86+E91+E96+E99+E103+E111+E116+E119+E128</f>
        <v>57</v>
      </c>
      <c r="F11" s="76">
        <f t="shared" si="0"/>
        <v>360573.24699999997</v>
      </c>
      <c r="G11" s="76">
        <f t="shared" si="0"/>
        <v>3960</v>
      </c>
      <c r="H11" s="76">
        <f t="shared" si="0"/>
        <v>174051</v>
      </c>
      <c r="I11" s="76">
        <f t="shared" si="0"/>
        <v>0</v>
      </c>
      <c r="J11" s="76">
        <f t="shared" si="0"/>
        <v>17000</v>
      </c>
      <c r="K11" s="76">
        <f t="shared" si="0"/>
        <v>53000</v>
      </c>
      <c r="L11" s="76">
        <f t="shared" si="0"/>
        <v>61501</v>
      </c>
      <c r="M11" s="76">
        <f t="shared" si="0"/>
        <v>42550</v>
      </c>
      <c r="N11" s="76">
        <f t="shared" si="0"/>
        <v>85095</v>
      </c>
      <c r="O11" s="76">
        <f t="shared" si="0"/>
        <v>119468</v>
      </c>
      <c r="P11" s="76">
        <f t="shared" si="0"/>
        <v>0</v>
      </c>
      <c r="Q11" s="76">
        <f t="shared" si="0"/>
        <v>9200</v>
      </c>
      <c r="R11" s="47">
        <f t="shared" si="0"/>
        <v>42168</v>
      </c>
      <c r="S11" s="76"/>
      <c r="T11" s="76">
        <f>T12+T19+T26+T31+T36+T42+T45+T50+T54+T60+T66+T75+T80+T86+T91+T96+T99+T103+T111+T116+T119+T128</f>
        <v>59400</v>
      </c>
      <c r="U11" s="76">
        <f>U12+U19+U26+U31+U36+U42+U45+U50+U54+U60+U66+U75+U80+U86+U91+U96+U99+U103+U111+U116+U119+U128</f>
        <v>8700</v>
      </c>
      <c r="V11" s="76">
        <f>V12+V19+V26+V31+V36+V42+V45+V50+V54+V60+V66+V75+V80+V86+V91+V96+V99+V103+V111+V116+V119+V128</f>
        <v>210053</v>
      </c>
      <c r="W11" s="343"/>
    </row>
    <row r="12" spans="1:26" s="159" customFormat="1" ht="21.75" customHeight="1" x14ac:dyDescent="0.25">
      <c r="A12" s="11" t="s">
        <v>76</v>
      </c>
      <c r="B12" s="14" t="s">
        <v>22</v>
      </c>
      <c r="C12" s="15"/>
      <c r="D12" s="342"/>
      <c r="E12" s="76">
        <f>E13+E17</f>
        <v>4</v>
      </c>
      <c r="F12" s="76">
        <f t="shared" ref="F12:V12" si="1">F13+F17</f>
        <v>36020</v>
      </c>
      <c r="G12" s="76">
        <f t="shared" si="1"/>
        <v>0</v>
      </c>
      <c r="H12" s="76">
        <f t="shared" si="1"/>
        <v>22000</v>
      </c>
      <c r="I12" s="76">
        <f t="shared" si="1"/>
        <v>0</v>
      </c>
      <c r="J12" s="76">
        <f t="shared" si="1"/>
        <v>4000</v>
      </c>
      <c r="K12" s="76">
        <f t="shared" si="1"/>
        <v>12000</v>
      </c>
      <c r="L12" s="76">
        <f t="shared" si="1"/>
        <v>4000</v>
      </c>
      <c r="M12" s="76">
        <f t="shared" si="1"/>
        <v>2000</v>
      </c>
      <c r="N12" s="76">
        <f t="shared" si="1"/>
        <v>11535</v>
      </c>
      <c r="O12" s="76">
        <f t="shared" si="1"/>
        <v>21050</v>
      </c>
      <c r="P12" s="76">
        <f t="shared" si="1"/>
        <v>0</v>
      </c>
      <c r="Q12" s="76">
        <f t="shared" si="1"/>
        <v>6200</v>
      </c>
      <c r="R12" s="47">
        <f t="shared" si="1"/>
        <v>12350</v>
      </c>
      <c r="S12" s="76"/>
      <c r="T12" s="76">
        <f t="shared" si="1"/>
        <v>2500</v>
      </c>
      <c r="U12" s="76">
        <f t="shared" si="1"/>
        <v>0</v>
      </c>
      <c r="V12" s="76">
        <f t="shared" si="1"/>
        <v>32585</v>
      </c>
      <c r="W12" s="343"/>
      <c r="X12" s="160"/>
    </row>
    <row r="13" spans="1:26" s="159" customFormat="1" ht="23.25" customHeight="1" x14ac:dyDescent="0.25">
      <c r="A13" s="11"/>
      <c r="B13" s="14" t="s">
        <v>48</v>
      </c>
      <c r="C13" s="15"/>
      <c r="D13" s="342"/>
      <c r="E13" s="76">
        <f>SUM(E14:E16)</f>
        <v>3</v>
      </c>
      <c r="F13" s="76">
        <f t="shared" ref="F13:V13" si="2">SUM(F14:F16)</f>
        <v>30020</v>
      </c>
      <c r="G13" s="76">
        <f t="shared" si="2"/>
        <v>0</v>
      </c>
      <c r="H13" s="76">
        <f t="shared" si="2"/>
        <v>19000</v>
      </c>
      <c r="I13" s="76">
        <f t="shared" si="2"/>
        <v>0</v>
      </c>
      <c r="J13" s="76">
        <f t="shared" si="2"/>
        <v>3000</v>
      </c>
      <c r="K13" s="76">
        <f t="shared" si="2"/>
        <v>11000</v>
      </c>
      <c r="L13" s="76">
        <f t="shared" si="2"/>
        <v>3000</v>
      </c>
      <c r="M13" s="76">
        <f t="shared" si="2"/>
        <v>2000</v>
      </c>
      <c r="N13" s="76">
        <f t="shared" si="2"/>
        <v>11535</v>
      </c>
      <c r="O13" s="76">
        <f t="shared" si="2"/>
        <v>15550</v>
      </c>
      <c r="P13" s="76">
        <f t="shared" si="2"/>
        <v>0</v>
      </c>
      <c r="Q13" s="76">
        <f t="shared" si="2"/>
        <v>2200</v>
      </c>
      <c r="R13" s="47">
        <f t="shared" si="2"/>
        <v>11350</v>
      </c>
      <c r="S13" s="76"/>
      <c r="T13" s="76">
        <f t="shared" si="2"/>
        <v>2000</v>
      </c>
      <c r="U13" s="76">
        <f t="shared" si="2"/>
        <v>0</v>
      </c>
      <c r="V13" s="76">
        <f t="shared" si="2"/>
        <v>27085</v>
      </c>
      <c r="W13" s="343"/>
      <c r="X13" s="160"/>
      <c r="Y13" s="159">
        <f>443010-441810</f>
        <v>1200</v>
      </c>
      <c r="Z13" s="160">
        <f>Y14-N14</f>
        <v>10308</v>
      </c>
    </row>
    <row r="14" spans="1:26" ht="54.75" customHeight="1" x14ac:dyDescent="0.2">
      <c r="A14" s="11">
        <v>1</v>
      </c>
      <c r="B14" s="474" t="s">
        <v>144</v>
      </c>
      <c r="C14" s="475"/>
      <c r="D14" s="569" t="s">
        <v>55</v>
      </c>
      <c r="E14" s="31">
        <v>1</v>
      </c>
      <c r="F14" s="31">
        <v>11040</v>
      </c>
      <c r="G14" s="31"/>
      <c r="H14" s="31">
        <f>SUM(I14:M14)</f>
        <v>7000</v>
      </c>
      <c r="I14" s="31"/>
      <c r="J14" s="31"/>
      <c r="K14" s="31">
        <v>5000</v>
      </c>
      <c r="L14" s="31">
        <v>1000</v>
      </c>
      <c r="M14" s="31">
        <v>1000</v>
      </c>
      <c r="N14" s="76">
        <f>5000+2535-5000</f>
        <v>2535</v>
      </c>
      <c r="O14" s="76">
        <f t="shared" ref="O14:O85" si="3">SUM(P14:U14)</f>
        <v>7350</v>
      </c>
      <c r="P14" s="31"/>
      <c r="Q14" s="31"/>
      <c r="R14" s="49">
        <f>6300+50</f>
        <v>6350</v>
      </c>
      <c r="S14" s="31"/>
      <c r="T14" s="31">
        <v>1000</v>
      </c>
      <c r="U14" s="31"/>
      <c r="V14" s="76">
        <f>N14+O14</f>
        <v>9885</v>
      </c>
      <c r="W14" s="22"/>
      <c r="X14" s="344">
        <f>F14*0.8</f>
        <v>8832</v>
      </c>
      <c r="Y14" s="344">
        <f>R14+6493</f>
        <v>12843</v>
      </c>
      <c r="Z14" s="72">
        <v>7669</v>
      </c>
    </row>
    <row r="15" spans="1:26" s="90" customFormat="1" ht="31.5" x14ac:dyDescent="0.2">
      <c r="A15" s="345">
        <v>2</v>
      </c>
      <c r="B15" s="79" t="s">
        <v>56</v>
      </c>
      <c r="C15" s="80"/>
      <c r="D15" s="352" t="s">
        <v>55</v>
      </c>
      <c r="E15" s="49">
        <v>1</v>
      </c>
      <c r="F15" s="49">
        <v>14980</v>
      </c>
      <c r="G15" s="49"/>
      <c r="H15" s="31">
        <f t="shared" ref="H15:H101" si="4">SUM(I15:M15)</f>
        <v>9000</v>
      </c>
      <c r="I15" s="49"/>
      <c r="J15" s="49">
        <v>2000</v>
      </c>
      <c r="K15" s="49">
        <v>5000</v>
      </c>
      <c r="L15" s="49">
        <v>1000</v>
      </c>
      <c r="M15" s="49">
        <v>1000</v>
      </c>
      <c r="N15" s="76">
        <f t="shared" ref="N15:N101" si="5">G15+I15+J15+K15</f>
        <v>7000</v>
      </c>
      <c r="O15" s="76">
        <f t="shared" si="3"/>
        <v>7200</v>
      </c>
      <c r="P15" s="49"/>
      <c r="Q15" s="49">
        <v>2200</v>
      </c>
      <c r="R15" s="49">
        <v>5000</v>
      </c>
      <c r="S15" s="49"/>
      <c r="T15" s="49"/>
      <c r="U15" s="49"/>
      <c r="V15" s="76">
        <f>N15+O15</f>
        <v>14200</v>
      </c>
      <c r="W15" s="347" t="s">
        <v>119</v>
      </c>
      <c r="X15" s="348"/>
      <c r="Z15" s="90">
        <f>Y14-Z14</f>
        <v>5174</v>
      </c>
    </row>
    <row r="16" spans="1:26" s="90" customFormat="1" ht="31.5" x14ac:dyDescent="0.2">
      <c r="A16" s="345">
        <v>3</v>
      </c>
      <c r="B16" s="79" t="s">
        <v>57</v>
      </c>
      <c r="C16" s="80"/>
      <c r="D16" s="346">
        <v>2023</v>
      </c>
      <c r="E16" s="49">
        <v>1</v>
      </c>
      <c r="F16" s="49">
        <v>4000</v>
      </c>
      <c r="G16" s="49"/>
      <c r="H16" s="31">
        <f t="shared" si="4"/>
        <v>3000</v>
      </c>
      <c r="I16" s="49"/>
      <c r="J16" s="49">
        <v>1000</v>
      </c>
      <c r="K16" s="49">
        <v>1000</v>
      </c>
      <c r="L16" s="49">
        <v>1000</v>
      </c>
      <c r="M16" s="49"/>
      <c r="N16" s="76">
        <f t="shared" si="5"/>
        <v>2000</v>
      </c>
      <c r="O16" s="76">
        <f t="shared" si="3"/>
        <v>1000</v>
      </c>
      <c r="P16" s="49"/>
      <c r="Q16" s="49"/>
      <c r="R16" s="49"/>
      <c r="S16" s="49"/>
      <c r="T16" s="49">
        <v>1000</v>
      </c>
      <c r="U16" s="49"/>
      <c r="V16" s="76">
        <f>N16+O16</f>
        <v>3000</v>
      </c>
      <c r="W16" s="347" t="s">
        <v>120</v>
      </c>
      <c r="X16" s="348">
        <f>+F16*70%</f>
        <v>2800</v>
      </c>
      <c r="Z16" s="90">
        <f>7535+1300</f>
        <v>8835</v>
      </c>
    </row>
    <row r="17" spans="1:24" s="159" customFormat="1" ht="23.25" customHeight="1" x14ac:dyDescent="0.25">
      <c r="A17" s="11"/>
      <c r="B17" s="14" t="s">
        <v>49</v>
      </c>
      <c r="C17" s="15"/>
      <c r="D17" s="342"/>
      <c r="E17" s="76">
        <f>+E18</f>
        <v>1</v>
      </c>
      <c r="F17" s="76">
        <f t="shared" ref="F17:V17" si="6">+F18</f>
        <v>6000</v>
      </c>
      <c r="G17" s="76">
        <f t="shared" si="6"/>
        <v>0</v>
      </c>
      <c r="H17" s="76">
        <f t="shared" si="6"/>
        <v>3000</v>
      </c>
      <c r="I17" s="76">
        <f t="shared" si="6"/>
        <v>0</v>
      </c>
      <c r="J17" s="76">
        <f t="shared" si="6"/>
        <v>1000</v>
      </c>
      <c r="K17" s="76">
        <f t="shared" si="6"/>
        <v>1000</v>
      </c>
      <c r="L17" s="76">
        <f t="shared" si="6"/>
        <v>1000</v>
      </c>
      <c r="M17" s="76">
        <f t="shared" si="6"/>
        <v>0</v>
      </c>
      <c r="N17" s="76">
        <f t="shared" si="6"/>
        <v>0</v>
      </c>
      <c r="O17" s="76">
        <f t="shared" si="6"/>
        <v>5500</v>
      </c>
      <c r="P17" s="76">
        <f t="shared" si="6"/>
        <v>0</v>
      </c>
      <c r="Q17" s="76">
        <f t="shared" si="6"/>
        <v>4000</v>
      </c>
      <c r="R17" s="76">
        <f t="shared" si="6"/>
        <v>1000</v>
      </c>
      <c r="S17" s="76">
        <f t="shared" si="6"/>
        <v>0</v>
      </c>
      <c r="T17" s="76">
        <f t="shared" si="6"/>
        <v>500</v>
      </c>
      <c r="U17" s="76">
        <f t="shared" si="6"/>
        <v>0</v>
      </c>
      <c r="V17" s="76">
        <f t="shared" si="6"/>
        <v>5500</v>
      </c>
      <c r="W17" s="343"/>
      <c r="X17" s="160"/>
    </row>
    <row r="18" spans="1:24" s="90" customFormat="1" ht="31.5" x14ac:dyDescent="0.2">
      <c r="A18" s="345">
        <v>1</v>
      </c>
      <c r="B18" s="79" t="s">
        <v>153</v>
      </c>
      <c r="C18" s="80"/>
      <c r="D18" s="346">
        <v>2023</v>
      </c>
      <c r="E18" s="49">
        <v>1</v>
      </c>
      <c r="F18" s="49">
        <v>6000</v>
      </c>
      <c r="G18" s="49"/>
      <c r="H18" s="31">
        <f t="shared" ref="H18" si="7">SUM(I18:M18)</f>
        <v>3000</v>
      </c>
      <c r="I18" s="49"/>
      <c r="J18" s="49">
        <v>1000</v>
      </c>
      <c r="K18" s="49">
        <v>1000</v>
      </c>
      <c r="L18" s="49">
        <v>1000</v>
      </c>
      <c r="M18" s="49"/>
      <c r="N18" s="76">
        <v>0</v>
      </c>
      <c r="O18" s="76">
        <f>SUM(P18:U18)</f>
        <v>5500</v>
      </c>
      <c r="P18" s="49"/>
      <c r="Q18" s="49">
        <v>4000</v>
      </c>
      <c r="R18" s="49">
        <v>1000</v>
      </c>
      <c r="S18" s="49"/>
      <c r="T18" s="49">
        <v>500</v>
      </c>
      <c r="U18" s="49"/>
      <c r="V18" s="76">
        <f>N18+O18</f>
        <v>5500</v>
      </c>
      <c r="W18" s="347" t="s">
        <v>119</v>
      </c>
      <c r="X18" s="348">
        <f t="shared" ref="X18" si="8">+F18*70%</f>
        <v>4200</v>
      </c>
    </row>
    <row r="19" spans="1:24" ht="20.25" customHeight="1" x14ac:dyDescent="0.2">
      <c r="A19" s="11" t="s">
        <v>74</v>
      </c>
      <c r="B19" s="50" t="s">
        <v>21</v>
      </c>
      <c r="C19" s="12"/>
      <c r="D19" s="12"/>
      <c r="E19" s="71">
        <f t="shared" ref="E19:V19" si="9">E20+E24</f>
        <v>3</v>
      </c>
      <c r="F19" s="71">
        <f t="shared" si="9"/>
        <v>25400</v>
      </c>
      <c r="G19" s="71">
        <f t="shared" si="9"/>
        <v>0</v>
      </c>
      <c r="H19" s="31">
        <f t="shared" si="4"/>
        <v>2000</v>
      </c>
      <c r="I19" s="71">
        <f t="shared" si="9"/>
        <v>0</v>
      </c>
      <c r="J19" s="71">
        <f t="shared" si="9"/>
        <v>0</v>
      </c>
      <c r="K19" s="71">
        <f t="shared" si="9"/>
        <v>0</v>
      </c>
      <c r="L19" s="71">
        <f t="shared" si="9"/>
        <v>2000</v>
      </c>
      <c r="M19" s="71">
        <f t="shared" si="9"/>
        <v>0</v>
      </c>
      <c r="N19" s="76">
        <f t="shared" si="5"/>
        <v>0</v>
      </c>
      <c r="O19" s="71">
        <f t="shared" si="9"/>
        <v>8430</v>
      </c>
      <c r="P19" s="71">
        <f t="shared" si="9"/>
        <v>0</v>
      </c>
      <c r="Q19" s="71">
        <f t="shared" si="9"/>
        <v>0</v>
      </c>
      <c r="R19" s="77">
        <f t="shared" si="9"/>
        <v>3430</v>
      </c>
      <c r="S19" s="71"/>
      <c r="T19" s="71">
        <f t="shared" si="9"/>
        <v>5000</v>
      </c>
      <c r="U19" s="71">
        <f t="shared" si="9"/>
        <v>0</v>
      </c>
      <c r="V19" s="71">
        <f t="shared" si="9"/>
        <v>17430</v>
      </c>
      <c r="W19" s="12"/>
      <c r="X19" s="344">
        <f t="shared" ref="X19:X24" si="10">+F19*70%</f>
        <v>17780</v>
      </c>
    </row>
    <row r="20" spans="1:24" x14ac:dyDescent="0.2">
      <c r="A20" s="11"/>
      <c r="B20" s="50" t="s">
        <v>58</v>
      </c>
      <c r="C20" s="12"/>
      <c r="D20" s="12"/>
      <c r="E20" s="71">
        <f>SUM(E21:E23)</f>
        <v>3</v>
      </c>
      <c r="F20" s="71">
        <f t="shared" ref="F20:V20" si="11">SUM(F21:F23)</f>
        <v>25400</v>
      </c>
      <c r="G20" s="71">
        <f t="shared" si="11"/>
        <v>0</v>
      </c>
      <c r="H20" s="71">
        <f t="shared" si="11"/>
        <v>2000</v>
      </c>
      <c r="I20" s="71">
        <f t="shared" si="11"/>
        <v>0</v>
      </c>
      <c r="J20" s="71">
        <f t="shared" si="11"/>
        <v>0</v>
      </c>
      <c r="K20" s="71">
        <f t="shared" si="11"/>
        <v>0</v>
      </c>
      <c r="L20" s="71">
        <f t="shared" si="11"/>
        <v>2000</v>
      </c>
      <c r="M20" s="71">
        <f t="shared" si="11"/>
        <v>0</v>
      </c>
      <c r="N20" s="71">
        <f t="shared" si="11"/>
        <v>9000</v>
      </c>
      <c r="O20" s="71">
        <f t="shared" si="11"/>
        <v>8430</v>
      </c>
      <c r="P20" s="71">
        <f t="shared" si="11"/>
        <v>0</v>
      </c>
      <c r="Q20" s="71">
        <f t="shared" si="11"/>
        <v>0</v>
      </c>
      <c r="R20" s="71">
        <f t="shared" si="11"/>
        <v>3430</v>
      </c>
      <c r="S20" s="71">
        <f t="shared" si="11"/>
        <v>0</v>
      </c>
      <c r="T20" s="71">
        <f t="shared" si="11"/>
        <v>5000</v>
      </c>
      <c r="U20" s="71">
        <f t="shared" si="11"/>
        <v>0</v>
      </c>
      <c r="V20" s="71">
        <f t="shared" si="11"/>
        <v>17430</v>
      </c>
      <c r="W20" s="12"/>
      <c r="X20" s="344">
        <f t="shared" si="10"/>
        <v>17780</v>
      </c>
    </row>
    <row r="21" spans="1:24" s="90" customFormat="1" ht="38.25" x14ac:dyDescent="0.2">
      <c r="A21" s="345">
        <v>1</v>
      </c>
      <c r="B21" s="54" t="s">
        <v>60</v>
      </c>
      <c r="C21" s="138" t="s">
        <v>155</v>
      </c>
      <c r="D21" s="473" t="s">
        <v>47</v>
      </c>
      <c r="E21" s="73">
        <v>1</v>
      </c>
      <c r="F21" s="73">
        <v>14900</v>
      </c>
      <c r="G21" s="73"/>
      <c r="H21" s="31">
        <f t="shared" si="4"/>
        <v>1000</v>
      </c>
      <c r="I21" s="73"/>
      <c r="J21" s="73"/>
      <c r="K21" s="73"/>
      <c r="L21" s="74">
        <v>1000</v>
      </c>
      <c r="M21" s="73"/>
      <c r="N21" s="76">
        <v>7000</v>
      </c>
      <c r="O21" s="76">
        <f>SUM(P21:U21)</f>
        <v>5430</v>
      </c>
      <c r="P21" s="73"/>
      <c r="Q21" s="73"/>
      <c r="R21" s="73">
        <v>3430</v>
      </c>
      <c r="S21" s="73"/>
      <c r="T21" s="73">
        <v>2000</v>
      </c>
      <c r="U21" s="73"/>
      <c r="V21" s="76">
        <f>N21+O21</f>
        <v>12430</v>
      </c>
      <c r="W21" s="55"/>
      <c r="X21" s="348">
        <f t="shared" si="10"/>
        <v>10430</v>
      </c>
    </row>
    <row r="22" spans="1:24" s="90" customFormat="1" ht="31.5" x14ac:dyDescent="0.2">
      <c r="A22" s="345">
        <v>2</v>
      </c>
      <c r="B22" s="54" t="s">
        <v>416</v>
      </c>
      <c r="C22" s="55"/>
      <c r="D22" s="473" t="s">
        <v>367</v>
      </c>
      <c r="E22" s="73">
        <v>1</v>
      </c>
      <c r="F22" s="73">
        <v>8000</v>
      </c>
      <c r="G22" s="73"/>
      <c r="H22" s="31"/>
      <c r="I22" s="73"/>
      <c r="J22" s="73"/>
      <c r="K22" s="73"/>
      <c r="L22" s="74"/>
      <c r="M22" s="73"/>
      <c r="N22" s="76">
        <v>2000</v>
      </c>
      <c r="O22" s="76">
        <f>SUM(P22:U22)</f>
        <v>2000</v>
      </c>
      <c r="P22" s="73"/>
      <c r="Q22" s="73"/>
      <c r="R22" s="73"/>
      <c r="S22" s="73"/>
      <c r="T22" s="73">
        <v>2000</v>
      </c>
      <c r="U22" s="73"/>
      <c r="V22" s="76">
        <f>N22+O22</f>
        <v>4000</v>
      </c>
      <c r="W22" s="55"/>
      <c r="X22" s="348"/>
    </row>
    <row r="23" spans="1:24" s="90" customFormat="1" ht="39.75" customHeight="1" x14ac:dyDescent="0.2">
      <c r="A23" s="345">
        <v>3</v>
      </c>
      <c r="B23" s="54" t="s">
        <v>59</v>
      </c>
      <c r="C23" s="55"/>
      <c r="D23" s="473" t="s">
        <v>47</v>
      </c>
      <c r="E23" s="73">
        <v>1</v>
      </c>
      <c r="F23" s="73">
        <v>2500</v>
      </c>
      <c r="G23" s="73"/>
      <c r="H23" s="31">
        <f t="shared" si="4"/>
        <v>1000</v>
      </c>
      <c r="I23" s="73"/>
      <c r="J23" s="73"/>
      <c r="K23" s="73"/>
      <c r="L23" s="74">
        <v>1000</v>
      </c>
      <c r="M23" s="73"/>
      <c r="N23" s="76">
        <f t="shared" si="5"/>
        <v>0</v>
      </c>
      <c r="O23" s="76">
        <f>SUM(P23:U23)</f>
        <v>1000</v>
      </c>
      <c r="P23" s="73"/>
      <c r="Q23" s="73"/>
      <c r="R23" s="73"/>
      <c r="S23" s="73"/>
      <c r="T23" s="73">
        <v>1000</v>
      </c>
      <c r="U23" s="73"/>
      <c r="V23" s="76">
        <f>N23+O23</f>
        <v>1000</v>
      </c>
      <c r="W23" s="55"/>
      <c r="X23" s="348">
        <f t="shared" si="10"/>
        <v>1750</v>
      </c>
    </row>
    <row r="24" spans="1:24" ht="27.75" customHeight="1" x14ac:dyDescent="0.2">
      <c r="A24" s="11"/>
      <c r="B24" s="50" t="s">
        <v>49</v>
      </c>
      <c r="C24" s="12"/>
      <c r="D24" s="12"/>
      <c r="E24" s="71">
        <f>SUM(E25)</f>
        <v>0</v>
      </c>
      <c r="F24" s="71">
        <f t="shared" ref="F24:V24" si="12">SUM(F25)</f>
        <v>0</v>
      </c>
      <c r="G24" s="71">
        <f t="shared" si="12"/>
        <v>0</v>
      </c>
      <c r="H24" s="71">
        <f t="shared" si="12"/>
        <v>0</v>
      </c>
      <c r="I24" s="71">
        <f t="shared" si="12"/>
        <v>0</v>
      </c>
      <c r="J24" s="71">
        <f t="shared" si="12"/>
        <v>0</v>
      </c>
      <c r="K24" s="71">
        <f t="shared" si="12"/>
        <v>0</v>
      </c>
      <c r="L24" s="71">
        <f t="shared" si="12"/>
        <v>0</v>
      </c>
      <c r="M24" s="71">
        <f t="shared" si="12"/>
        <v>0</v>
      </c>
      <c r="N24" s="71">
        <f t="shared" si="12"/>
        <v>0</v>
      </c>
      <c r="O24" s="71">
        <f t="shared" si="12"/>
        <v>0</v>
      </c>
      <c r="P24" s="71">
        <f t="shared" si="12"/>
        <v>0</v>
      </c>
      <c r="Q24" s="71">
        <f t="shared" si="12"/>
        <v>0</v>
      </c>
      <c r="R24" s="71">
        <f t="shared" si="12"/>
        <v>0</v>
      </c>
      <c r="S24" s="71">
        <f t="shared" si="12"/>
        <v>0</v>
      </c>
      <c r="T24" s="71">
        <f t="shared" si="12"/>
        <v>0</v>
      </c>
      <c r="U24" s="71">
        <f t="shared" si="12"/>
        <v>0</v>
      </c>
      <c r="V24" s="71">
        <f t="shared" si="12"/>
        <v>0</v>
      </c>
      <c r="W24" s="12"/>
      <c r="X24" s="344">
        <f t="shared" si="10"/>
        <v>0</v>
      </c>
    </row>
    <row r="25" spans="1:24" s="90" customFormat="1" x14ac:dyDescent="0.2">
      <c r="A25" s="345"/>
      <c r="B25" s="54"/>
      <c r="C25" s="55"/>
      <c r="D25" s="55"/>
      <c r="E25" s="73"/>
      <c r="F25" s="73"/>
      <c r="G25" s="73"/>
      <c r="H25" s="31"/>
      <c r="I25" s="73"/>
      <c r="J25" s="73"/>
      <c r="K25" s="73"/>
      <c r="L25" s="74"/>
      <c r="M25" s="73"/>
      <c r="N25" s="76"/>
      <c r="O25" s="76"/>
      <c r="P25" s="73"/>
      <c r="Q25" s="73"/>
      <c r="R25" s="73"/>
      <c r="S25" s="73"/>
      <c r="T25" s="73"/>
      <c r="U25" s="73"/>
      <c r="V25" s="76"/>
      <c r="W25" s="55"/>
      <c r="X25" s="348"/>
    </row>
    <row r="26" spans="1:24" ht="27" customHeight="1" x14ac:dyDescent="0.2">
      <c r="A26" s="29" t="s">
        <v>75</v>
      </c>
      <c r="B26" s="50" t="s">
        <v>20</v>
      </c>
      <c r="C26" s="12"/>
      <c r="D26" s="12"/>
      <c r="E26" s="71">
        <f>E27+E29</f>
        <v>2</v>
      </c>
      <c r="F26" s="71">
        <f t="shared" ref="F26:V26" si="13">F27+F29</f>
        <v>7981</v>
      </c>
      <c r="G26" s="71">
        <f t="shared" si="13"/>
        <v>3960</v>
      </c>
      <c r="H26" s="71">
        <f t="shared" si="13"/>
        <v>6000</v>
      </c>
      <c r="I26" s="71">
        <f t="shared" si="13"/>
        <v>0</v>
      </c>
      <c r="J26" s="71">
        <f t="shared" si="13"/>
        <v>0</v>
      </c>
      <c r="K26" s="71">
        <f t="shared" si="13"/>
        <v>4000</v>
      </c>
      <c r="L26" s="71">
        <f t="shared" si="13"/>
        <v>2000</v>
      </c>
      <c r="M26" s="71">
        <f t="shared" si="13"/>
        <v>0</v>
      </c>
      <c r="N26" s="71">
        <f t="shared" si="13"/>
        <v>3960</v>
      </c>
      <c r="O26" s="71">
        <f t="shared" si="13"/>
        <v>700</v>
      </c>
      <c r="P26" s="71">
        <f t="shared" si="13"/>
        <v>0</v>
      </c>
      <c r="Q26" s="71">
        <f t="shared" si="13"/>
        <v>0</v>
      </c>
      <c r="R26" s="71">
        <f t="shared" si="13"/>
        <v>0</v>
      </c>
      <c r="S26" s="71">
        <f t="shared" si="13"/>
        <v>0</v>
      </c>
      <c r="T26" s="71">
        <f t="shared" si="13"/>
        <v>700</v>
      </c>
      <c r="U26" s="71">
        <f t="shared" si="13"/>
        <v>0</v>
      </c>
      <c r="V26" s="71">
        <f t="shared" si="13"/>
        <v>4850</v>
      </c>
      <c r="W26" s="339"/>
      <c r="X26" s="344">
        <f t="shared" ref="X26:X32" si="14">+F26*70%</f>
        <v>5586.7</v>
      </c>
    </row>
    <row r="27" spans="1:24" ht="27" customHeight="1" x14ac:dyDescent="0.2">
      <c r="A27" s="11"/>
      <c r="B27" s="50" t="s">
        <v>48</v>
      </c>
      <c r="C27" s="12"/>
      <c r="D27" s="12"/>
      <c r="E27" s="71">
        <f>SUM(E28)</f>
        <v>1</v>
      </c>
      <c r="F27" s="71">
        <f t="shared" ref="F27:V29" si="15">SUM(F28)</f>
        <v>7981</v>
      </c>
      <c r="G27" s="71">
        <f t="shared" si="15"/>
        <v>1980</v>
      </c>
      <c r="H27" s="31">
        <f t="shared" ref="H27:H28" si="16">SUM(I27:M27)</f>
        <v>3000</v>
      </c>
      <c r="I27" s="71">
        <f t="shared" si="15"/>
        <v>0</v>
      </c>
      <c r="J27" s="71">
        <f t="shared" si="15"/>
        <v>0</v>
      </c>
      <c r="K27" s="71">
        <f t="shared" si="15"/>
        <v>2000</v>
      </c>
      <c r="L27" s="71">
        <f t="shared" si="15"/>
        <v>1000</v>
      </c>
      <c r="M27" s="71">
        <f t="shared" si="15"/>
        <v>0</v>
      </c>
      <c r="N27" s="76">
        <v>1980</v>
      </c>
      <c r="O27" s="71">
        <f t="shared" si="15"/>
        <v>500</v>
      </c>
      <c r="P27" s="71">
        <f t="shared" si="15"/>
        <v>0</v>
      </c>
      <c r="Q27" s="71">
        <f t="shared" si="15"/>
        <v>0</v>
      </c>
      <c r="R27" s="77">
        <f t="shared" si="15"/>
        <v>0</v>
      </c>
      <c r="S27" s="71"/>
      <c r="T27" s="71">
        <f t="shared" si="15"/>
        <v>500</v>
      </c>
      <c r="U27" s="71">
        <f t="shared" si="15"/>
        <v>0</v>
      </c>
      <c r="V27" s="71">
        <f t="shared" si="15"/>
        <v>4650</v>
      </c>
      <c r="W27" s="551"/>
      <c r="X27" s="344">
        <f t="shared" si="14"/>
        <v>5586.7</v>
      </c>
    </row>
    <row r="28" spans="1:24" s="161" customFormat="1" ht="31.5" x14ac:dyDescent="0.2">
      <c r="A28" s="11">
        <v>1</v>
      </c>
      <c r="B28" s="51" t="s">
        <v>128</v>
      </c>
      <c r="C28" s="22"/>
      <c r="D28" s="349" t="s">
        <v>47</v>
      </c>
      <c r="E28" s="70">
        <v>1</v>
      </c>
      <c r="F28" s="70">
        <v>7981</v>
      </c>
      <c r="G28" s="70">
        <v>1980</v>
      </c>
      <c r="H28" s="31">
        <f t="shared" si="16"/>
        <v>3000</v>
      </c>
      <c r="I28" s="70"/>
      <c r="J28" s="70"/>
      <c r="K28" s="70">
        <v>2000</v>
      </c>
      <c r="L28" s="69">
        <v>1000</v>
      </c>
      <c r="M28" s="70"/>
      <c r="N28" s="76">
        <f>1980+2170</f>
        <v>4150</v>
      </c>
      <c r="O28" s="76">
        <f>SUM(P28:U28)</f>
        <v>500</v>
      </c>
      <c r="P28" s="70"/>
      <c r="Q28" s="70"/>
      <c r="R28" s="73"/>
      <c r="S28" s="70"/>
      <c r="T28" s="70">
        <v>500</v>
      </c>
      <c r="U28" s="70"/>
      <c r="V28" s="76">
        <f t="shared" ref="V28" si="17">N28+O28</f>
        <v>4650</v>
      </c>
      <c r="W28" s="350" t="s">
        <v>156</v>
      </c>
      <c r="X28" s="344">
        <f t="shared" si="14"/>
        <v>5586.7</v>
      </c>
    </row>
    <row r="29" spans="1:24" ht="27" customHeight="1" x14ac:dyDescent="0.2">
      <c r="A29" s="11"/>
      <c r="B29" s="50" t="s">
        <v>133</v>
      </c>
      <c r="C29" s="12"/>
      <c r="D29" s="12"/>
      <c r="E29" s="71">
        <f>SUM(E30)</f>
        <v>1</v>
      </c>
      <c r="F29" s="71">
        <f t="shared" si="15"/>
        <v>0</v>
      </c>
      <c r="G29" s="71">
        <f t="shared" si="15"/>
        <v>1980</v>
      </c>
      <c r="H29" s="31">
        <f t="shared" si="4"/>
        <v>3000</v>
      </c>
      <c r="I29" s="71">
        <f t="shared" si="15"/>
        <v>0</v>
      </c>
      <c r="J29" s="71">
        <f t="shared" si="15"/>
        <v>0</v>
      </c>
      <c r="K29" s="71">
        <f t="shared" si="15"/>
        <v>2000</v>
      </c>
      <c r="L29" s="71">
        <f t="shared" si="15"/>
        <v>1000</v>
      </c>
      <c r="M29" s="71">
        <f t="shared" si="15"/>
        <v>0</v>
      </c>
      <c r="N29" s="76">
        <v>1980</v>
      </c>
      <c r="O29" s="71">
        <f t="shared" si="15"/>
        <v>200</v>
      </c>
      <c r="P29" s="71">
        <f t="shared" si="15"/>
        <v>0</v>
      </c>
      <c r="Q29" s="71">
        <f t="shared" si="15"/>
        <v>0</v>
      </c>
      <c r="R29" s="77">
        <f t="shared" si="15"/>
        <v>0</v>
      </c>
      <c r="S29" s="71"/>
      <c r="T29" s="71">
        <f t="shared" si="15"/>
        <v>200</v>
      </c>
      <c r="U29" s="71">
        <f t="shared" si="15"/>
        <v>0</v>
      </c>
      <c r="V29" s="71">
        <f t="shared" si="15"/>
        <v>200</v>
      </c>
      <c r="W29" s="551"/>
      <c r="X29" s="344">
        <f t="shared" si="14"/>
        <v>0</v>
      </c>
    </row>
    <row r="30" spans="1:24" s="161" customFormat="1" ht="31.5" x14ac:dyDescent="0.2">
      <c r="A30" s="11">
        <v>1</v>
      </c>
      <c r="B30" s="51" t="s">
        <v>423</v>
      </c>
      <c r="C30" s="22"/>
      <c r="D30" s="349" t="s">
        <v>370</v>
      </c>
      <c r="E30" s="70">
        <v>1</v>
      </c>
      <c r="F30" s="70">
        <v>0</v>
      </c>
      <c r="G30" s="70">
        <v>1980</v>
      </c>
      <c r="H30" s="31">
        <f t="shared" si="4"/>
        <v>3000</v>
      </c>
      <c r="I30" s="70"/>
      <c r="J30" s="70"/>
      <c r="K30" s="70">
        <v>2000</v>
      </c>
      <c r="L30" s="69">
        <v>1000</v>
      </c>
      <c r="M30" s="70"/>
      <c r="N30" s="76">
        <v>0</v>
      </c>
      <c r="O30" s="76">
        <f>SUM(P30:U30)</f>
        <v>200</v>
      </c>
      <c r="P30" s="70"/>
      <c r="Q30" s="70"/>
      <c r="R30" s="73"/>
      <c r="S30" s="70"/>
      <c r="T30" s="70">
        <v>200</v>
      </c>
      <c r="U30" s="70"/>
      <c r="V30" s="76">
        <f t="shared" ref="V30:V42" si="18">N30+O30</f>
        <v>200</v>
      </c>
      <c r="W30" s="350"/>
      <c r="X30" s="344">
        <f t="shared" si="14"/>
        <v>0</v>
      </c>
    </row>
    <row r="31" spans="1:24" ht="24" customHeight="1" x14ac:dyDescent="0.2">
      <c r="A31" s="11" t="s">
        <v>100</v>
      </c>
      <c r="B31" s="50" t="s">
        <v>19</v>
      </c>
      <c r="C31" s="12"/>
      <c r="D31" s="12"/>
      <c r="E31" s="71">
        <f t="shared" ref="E31:M31" si="19">E32+E34</f>
        <v>0</v>
      </c>
      <c r="F31" s="71">
        <f t="shared" si="19"/>
        <v>0</v>
      </c>
      <c r="G31" s="71">
        <f t="shared" si="19"/>
        <v>0</v>
      </c>
      <c r="H31" s="31">
        <f t="shared" si="4"/>
        <v>0</v>
      </c>
      <c r="I31" s="71">
        <f t="shared" si="19"/>
        <v>0</v>
      </c>
      <c r="J31" s="71">
        <f t="shared" si="19"/>
        <v>0</v>
      </c>
      <c r="K31" s="71">
        <f t="shared" si="19"/>
        <v>0</v>
      </c>
      <c r="L31" s="71">
        <f t="shared" si="19"/>
        <v>0</v>
      </c>
      <c r="M31" s="71">
        <f t="shared" si="19"/>
        <v>0</v>
      </c>
      <c r="N31" s="76">
        <f t="shared" si="5"/>
        <v>0</v>
      </c>
      <c r="O31" s="76">
        <f t="shared" si="3"/>
        <v>0</v>
      </c>
      <c r="P31" s="71"/>
      <c r="Q31" s="71"/>
      <c r="R31" s="77"/>
      <c r="S31" s="71"/>
      <c r="T31" s="71"/>
      <c r="U31" s="71"/>
      <c r="V31" s="76">
        <f t="shared" si="18"/>
        <v>0</v>
      </c>
      <c r="W31" s="343"/>
      <c r="X31" s="344">
        <f t="shared" si="14"/>
        <v>0</v>
      </c>
    </row>
    <row r="32" spans="1:24" ht="24.75" hidden="1" customHeight="1" x14ac:dyDescent="0.2">
      <c r="A32" s="11"/>
      <c r="B32" s="50" t="s">
        <v>48</v>
      </c>
      <c r="C32" s="12"/>
      <c r="D32" s="12"/>
      <c r="E32" s="71">
        <f>E33</f>
        <v>0</v>
      </c>
      <c r="F32" s="71">
        <f t="shared" ref="F32:M32" si="20">F33</f>
        <v>0</v>
      </c>
      <c r="G32" s="71">
        <f t="shared" si="20"/>
        <v>0</v>
      </c>
      <c r="H32" s="31">
        <f t="shared" si="4"/>
        <v>0</v>
      </c>
      <c r="I32" s="71">
        <f t="shared" si="20"/>
        <v>0</v>
      </c>
      <c r="J32" s="71">
        <f t="shared" si="20"/>
        <v>0</v>
      </c>
      <c r="K32" s="71">
        <f t="shared" si="20"/>
        <v>0</v>
      </c>
      <c r="L32" s="71">
        <f t="shared" si="20"/>
        <v>0</v>
      </c>
      <c r="M32" s="71">
        <f t="shared" si="20"/>
        <v>0</v>
      </c>
      <c r="N32" s="76">
        <f t="shared" si="5"/>
        <v>0</v>
      </c>
      <c r="O32" s="76">
        <f t="shared" si="3"/>
        <v>0</v>
      </c>
      <c r="P32" s="71"/>
      <c r="Q32" s="71"/>
      <c r="R32" s="77"/>
      <c r="S32" s="71"/>
      <c r="T32" s="71"/>
      <c r="U32" s="71"/>
      <c r="V32" s="76">
        <f t="shared" si="18"/>
        <v>0</v>
      </c>
      <c r="W32" s="343"/>
      <c r="X32" s="344">
        <f t="shared" si="14"/>
        <v>0</v>
      </c>
    </row>
    <row r="33" spans="1:25" s="90" customFormat="1" ht="39" hidden="1" customHeight="1" x14ac:dyDescent="0.2">
      <c r="A33" s="345"/>
      <c r="B33" s="54"/>
      <c r="C33" s="55"/>
      <c r="D33" s="22"/>
      <c r="E33" s="73"/>
      <c r="F33" s="73"/>
      <c r="G33" s="73"/>
      <c r="H33" s="31">
        <f t="shared" si="4"/>
        <v>0</v>
      </c>
      <c r="I33" s="91"/>
      <c r="J33" s="91"/>
      <c r="K33" s="73"/>
      <c r="L33" s="74"/>
      <c r="M33" s="73"/>
      <c r="N33" s="76">
        <f t="shared" si="5"/>
        <v>0</v>
      </c>
      <c r="O33" s="76">
        <f t="shared" si="3"/>
        <v>0</v>
      </c>
      <c r="P33" s="73"/>
      <c r="Q33" s="73"/>
      <c r="R33" s="73"/>
      <c r="S33" s="73"/>
      <c r="T33" s="73"/>
      <c r="U33" s="73"/>
      <c r="V33" s="76">
        <f t="shared" si="18"/>
        <v>0</v>
      </c>
      <c r="W33" s="26"/>
      <c r="X33" s="344"/>
    </row>
    <row r="34" spans="1:25" s="90" customFormat="1" ht="24" hidden="1" customHeight="1" x14ac:dyDescent="0.2">
      <c r="A34" s="345"/>
      <c r="B34" s="18"/>
      <c r="C34" s="55"/>
      <c r="D34" s="22"/>
      <c r="E34" s="47"/>
      <c r="F34" s="47"/>
      <c r="G34" s="47"/>
      <c r="H34" s="31">
        <f t="shared" si="4"/>
        <v>0</v>
      </c>
      <c r="I34" s="47"/>
      <c r="J34" s="47"/>
      <c r="K34" s="47"/>
      <c r="L34" s="47"/>
      <c r="M34" s="47"/>
      <c r="N34" s="76">
        <f t="shared" si="5"/>
        <v>0</v>
      </c>
      <c r="O34" s="76">
        <f t="shared" si="3"/>
        <v>0</v>
      </c>
      <c r="P34" s="47"/>
      <c r="Q34" s="47"/>
      <c r="R34" s="47"/>
      <c r="S34" s="47"/>
      <c r="T34" s="47"/>
      <c r="U34" s="47"/>
      <c r="V34" s="76">
        <f t="shared" si="18"/>
        <v>0</v>
      </c>
      <c r="W34" s="26"/>
      <c r="X34" s="344"/>
    </row>
    <row r="35" spans="1:25" s="90" customFormat="1" hidden="1" x14ac:dyDescent="0.2">
      <c r="A35" s="345"/>
      <c r="B35" s="54"/>
      <c r="C35" s="55"/>
      <c r="D35" s="55"/>
      <c r="E35" s="73"/>
      <c r="F35" s="73"/>
      <c r="G35" s="73"/>
      <c r="H35" s="31">
        <f t="shared" si="4"/>
        <v>0</v>
      </c>
      <c r="I35" s="91"/>
      <c r="J35" s="91"/>
      <c r="K35" s="476"/>
      <c r="L35" s="74"/>
      <c r="M35" s="73"/>
      <c r="N35" s="76">
        <f t="shared" si="5"/>
        <v>0</v>
      </c>
      <c r="O35" s="76">
        <f t="shared" si="3"/>
        <v>0</v>
      </c>
      <c r="P35" s="73"/>
      <c r="Q35" s="73"/>
      <c r="R35" s="73"/>
      <c r="S35" s="73"/>
      <c r="T35" s="73"/>
      <c r="U35" s="73"/>
      <c r="V35" s="76">
        <f t="shared" si="18"/>
        <v>0</v>
      </c>
      <c r="W35" s="346"/>
      <c r="X35" s="348"/>
    </row>
    <row r="36" spans="1:25" ht="22.5" customHeight="1" x14ac:dyDescent="0.2">
      <c r="A36" s="11" t="s">
        <v>101</v>
      </c>
      <c r="B36" s="50" t="s">
        <v>18</v>
      </c>
      <c r="C36" s="12"/>
      <c r="D36" s="12"/>
      <c r="E36" s="71">
        <f>E37+E39</f>
        <v>3</v>
      </c>
      <c r="F36" s="71">
        <f t="shared" ref="F36:V36" si="21">F37+F39</f>
        <v>14950</v>
      </c>
      <c r="G36" s="71">
        <f t="shared" si="21"/>
        <v>0</v>
      </c>
      <c r="H36" s="71">
        <f t="shared" si="21"/>
        <v>12000</v>
      </c>
      <c r="I36" s="71">
        <f t="shared" si="21"/>
        <v>0</v>
      </c>
      <c r="J36" s="71">
        <f t="shared" si="21"/>
        <v>10000</v>
      </c>
      <c r="K36" s="71">
        <f t="shared" si="21"/>
        <v>0</v>
      </c>
      <c r="L36" s="71">
        <f t="shared" si="21"/>
        <v>1000</v>
      </c>
      <c r="M36" s="71">
        <f t="shared" si="21"/>
        <v>1000</v>
      </c>
      <c r="N36" s="71">
        <f t="shared" si="21"/>
        <v>5000</v>
      </c>
      <c r="O36" s="71">
        <f t="shared" si="21"/>
        <v>4865</v>
      </c>
      <c r="P36" s="71">
        <f t="shared" si="21"/>
        <v>0</v>
      </c>
      <c r="Q36" s="71">
        <f t="shared" si="21"/>
        <v>0</v>
      </c>
      <c r="R36" s="71">
        <f t="shared" si="21"/>
        <v>3465</v>
      </c>
      <c r="S36" s="71">
        <f t="shared" si="21"/>
        <v>0</v>
      </c>
      <c r="T36" s="71">
        <f t="shared" si="21"/>
        <v>1400</v>
      </c>
      <c r="U36" s="71">
        <f t="shared" si="21"/>
        <v>0</v>
      </c>
      <c r="V36" s="71">
        <f t="shared" si="21"/>
        <v>9865</v>
      </c>
      <c r="W36" s="551">
        <f>SUM(W41:W41)</f>
        <v>0</v>
      </c>
      <c r="X36" s="344">
        <f>+F36*70%</f>
        <v>10465</v>
      </c>
    </row>
    <row r="37" spans="1:25" x14ac:dyDescent="0.2">
      <c r="A37" s="11"/>
      <c r="B37" s="50" t="s">
        <v>48</v>
      </c>
      <c r="C37" s="12"/>
      <c r="D37" s="12"/>
      <c r="E37" s="71">
        <f>SUM(E38)</f>
        <v>1</v>
      </c>
      <c r="F37" s="71">
        <f t="shared" ref="F37:U37" si="22">SUM(F38)</f>
        <v>14950</v>
      </c>
      <c r="G37" s="71">
        <f t="shared" si="22"/>
        <v>0</v>
      </c>
      <c r="H37" s="31">
        <f t="shared" ref="H37:H38" si="23">SUM(I37:M37)</f>
        <v>6000</v>
      </c>
      <c r="I37" s="71">
        <f t="shared" si="22"/>
        <v>0</v>
      </c>
      <c r="J37" s="71">
        <f t="shared" si="22"/>
        <v>5000</v>
      </c>
      <c r="K37" s="71">
        <f t="shared" si="22"/>
        <v>0</v>
      </c>
      <c r="L37" s="71">
        <f t="shared" si="22"/>
        <v>500</v>
      </c>
      <c r="M37" s="71">
        <f t="shared" si="22"/>
        <v>500</v>
      </c>
      <c r="N37" s="76">
        <f t="shared" ref="N37" si="24">G37+I37+J37+K37</f>
        <v>5000</v>
      </c>
      <c r="O37" s="71">
        <f t="shared" si="22"/>
        <v>4465</v>
      </c>
      <c r="P37" s="71">
        <f t="shared" si="22"/>
        <v>0</v>
      </c>
      <c r="Q37" s="71">
        <f t="shared" si="22"/>
        <v>0</v>
      </c>
      <c r="R37" s="77">
        <f t="shared" si="22"/>
        <v>3465</v>
      </c>
      <c r="S37" s="71"/>
      <c r="T37" s="71">
        <f t="shared" si="22"/>
        <v>1000</v>
      </c>
      <c r="U37" s="71">
        <f t="shared" si="22"/>
        <v>0</v>
      </c>
      <c r="V37" s="76">
        <f t="shared" ref="V37:V38" si="25">N37+O37</f>
        <v>9465</v>
      </c>
      <c r="W37" s="551"/>
      <c r="X37" s="344">
        <f>+F37*70%</f>
        <v>10465</v>
      </c>
    </row>
    <row r="38" spans="1:25" s="28" customFormat="1" ht="78.75" x14ac:dyDescent="0.25">
      <c r="A38" s="351">
        <v>1</v>
      </c>
      <c r="B38" s="58" t="s">
        <v>136</v>
      </c>
      <c r="C38" s="352" t="s">
        <v>157</v>
      </c>
      <c r="D38" s="352" t="s">
        <v>43</v>
      </c>
      <c r="E38" s="49">
        <v>1</v>
      </c>
      <c r="F38" s="27">
        <v>14950</v>
      </c>
      <c r="G38" s="27">
        <v>0</v>
      </c>
      <c r="H38" s="31">
        <f t="shared" si="23"/>
        <v>6000</v>
      </c>
      <c r="I38" s="48"/>
      <c r="J38" s="49">
        <v>5000</v>
      </c>
      <c r="K38" s="49">
        <v>0</v>
      </c>
      <c r="L38" s="49">
        <v>500</v>
      </c>
      <c r="M38" s="49">
        <v>500</v>
      </c>
      <c r="N38" s="76">
        <v>7000</v>
      </c>
      <c r="O38" s="76">
        <f>SUM(P38:U38)</f>
        <v>4465</v>
      </c>
      <c r="P38" s="49"/>
      <c r="Q38" s="49"/>
      <c r="R38" s="49">
        <v>3465</v>
      </c>
      <c r="S38" s="49"/>
      <c r="T38" s="49">
        <v>1000</v>
      </c>
      <c r="U38" s="49"/>
      <c r="V38" s="76">
        <f t="shared" si="25"/>
        <v>11465</v>
      </c>
      <c r="W38" s="26"/>
      <c r="X38" s="348">
        <f>+F38*70%</f>
        <v>10465</v>
      </c>
    </row>
    <row r="39" spans="1:25" x14ac:dyDescent="0.2">
      <c r="A39" s="11"/>
      <c r="B39" s="50" t="s">
        <v>133</v>
      </c>
      <c r="C39" s="12"/>
      <c r="D39" s="12"/>
      <c r="E39" s="71">
        <f>SUM(E40:E41)</f>
        <v>2</v>
      </c>
      <c r="F39" s="71">
        <f t="shared" ref="F39:V39" si="26">SUM(F40:F41)</f>
        <v>0</v>
      </c>
      <c r="G39" s="71">
        <f t="shared" si="26"/>
        <v>0</v>
      </c>
      <c r="H39" s="71">
        <f t="shared" si="26"/>
        <v>6000</v>
      </c>
      <c r="I39" s="71">
        <f t="shared" si="26"/>
        <v>0</v>
      </c>
      <c r="J39" s="71">
        <f t="shared" si="26"/>
        <v>5000</v>
      </c>
      <c r="K39" s="71">
        <f t="shared" si="26"/>
        <v>0</v>
      </c>
      <c r="L39" s="71">
        <f t="shared" si="26"/>
        <v>500</v>
      </c>
      <c r="M39" s="71">
        <f t="shared" si="26"/>
        <v>500</v>
      </c>
      <c r="N39" s="71">
        <f t="shared" si="26"/>
        <v>0</v>
      </c>
      <c r="O39" s="71">
        <f t="shared" si="26"/>
        <v>400</v>
      </c>
      <c r="P39" s="71">
        <f t="shared" si="26"/>
        <v>0</v>
      </c>
      <c r="Q39" s="71">
        <f t="shared" si="26"/>
        <v>0</v>
      </c>
      <c r="R39" s="71">
        <f t="shared" si="26"/>
        <v>0</v>
      </c>
      <c r="S39" s="71">
        <f t="shared" si="26"/>
        <v>0</v>
      </c>
      <c r="T39" s="71">
        <f t="shared" si="26"/>
        <v>400</v>
      </c>
      <c r="U39" s="71">
        <f t="shared" si="26"/>
        <v>0</v>
      </c>
      <c r="V39" s="71">
        <f t="shared" si="26"/>
        <v>400</v>
      </c>
      <c r="W39" s="551"/>
      <c r="X39" s="344">
        <f>+F39*70%</f>
        <v>0</v>
      </c>
    </row>
    <row r="40" spans="1:25" ht="49.5" customHeight="1" x14ac:dyDescent="0.2">
      <c r="A40" s="92">
        <v>1</v>
      </c>
      <c r="B40" s="51" t="s">
        <v>429</v>
      </c>
      <c r="C40" s="22"/>
      <c r="D40" s="22" t="s">
        <v>370</v>
      </c>
      <c r="E40" s="70">
        <v>1</v>
      </c>
      <c r="F40" s="70"/>
      <c r="G40" s="70"/>
      <c r="H40" s="31"/>
      <c r="I40" s="70"/>
      <c r="J40" s="70"/>
      <c r="K40" s="70"/>
      <c r="L40" s="70"/>
      <c r="M40" s="70"/>
      <c r="N40" s="31"/>
      <c r="O40" s="76">
        <f>SUM(P40:U40)</f>
        <v>200</v>
      </c>
      <c r="P40" s="70"/>
      <c r="Q40" s="70"/>
      <c r="R40" s="73"/>
      <c r="S40" s="70"/>
      <c r="T40" s="70">
        <v>200</v>
      </c>
      <c r="U40" s="70"/>
      <c r="V40" s="76">
        <f t="shared" si="18"/>
        <v>200</v>
      </c>
      <c r="W40" s="350"/>
      <c r="X40" s="344"/>
    </row>
    <row r="41" spans="1:25" s="28" customFormat="1" ht="47.25" x14ac:dyDescent="0.25">
      <c r="A41" s="351">
        <v>2</v>
      </c>
      <c r="B41" s="58" t="s">
        <v>430</v>
      </c>
      <c r="C41" s="352"/>
      <c r="D41" s="352" t="s">
        <v>370</v>
      </c>
      <c r="E41" s="49">
        <v>1</v>
      </c>
      <c r="F41" s="27">
        <v>0</v>
      </c>
      <c r="G41" s="27">
        <v>0</v>
      </c>
      <c r="H41" s="31">
        <f t="shared" si="4"/>
        <v>6000</v>
      </c>
      <c r="I41" s="48"/>
      <c r="J41" s="49">
        <v>5000</v>
      </c>
      <c r="K41" s="49">
        <v>0</v>
      </c>
      <c r="L41" s="49">
        <v>500</v>
      </c>
      <c r="M41" s="49">
        <v>500</v>
      </c>
      <c r="N41" s="76">
        <v>0</v>
      </c>
      <c r="O41" s="76">
        <f>SUM(P41:U41)</f>
        <v>200</v>
      </c>
      <c r="P41" s="49"/>
      <c r="Q41" s="49"/>
      <c r="R41" s="49">
        <v>0</v>
      </c>
      <c r="S41" s="49"/>
      <c r="T41" s="49">
        <v>200</v>
      </c>
      <c r="U41" s="49"/>
      <c r="V41" s="76">
        <f t="shared" si="18"/>
        <v>200</v>
      </c>
      <c r="W41" s="26"/>
      <c r="X41" s="348">
        <f>+F41*70%</f>
        <v>0</v>
      </c>
    </row>
    <row r="42" spans="1:25" ht="27.75" customHeight="1" x14ac:dyDescent="0.2">
      <c r="A42" s="11" t="s">
        <v>102</v>
      </c>
      <c r="B42" s="59" t="s">
        <v>17</v>
      </c>
      <c r="C42" s="12"/>
      <c r="D42" s="12"/>
      <c r="E42" s="71">
        <f>E43</f>
        <v>0</v>
      </c>
      <c r="F42" s="71">
        <f t="shared" ref="F42:U42" si="27">F43</f>
        <v>0</v>
      </c>
      <c r="G42" s="71">
        <f t="shared" si="27"/>
        <v>0</v>
      </c>
      <c r="H42" s="31">
        <f t="shared" si="4"/>
        <v>0</v>
      </c>
      <c r="I42" s="71">
        <f t="shared" si="27"/>
        <v>0</v>
      </c>
      <c r="J42" s="71">
        <f t="shared" si="27"/>
        <v>0</v>
      </c>
      <c r="K42" s="71">
        <f t="shared" si="27"/>
        <v>0</v>
      </c>
      <c r="L42" s="71">
        <f t="shared" si="27"/>
        <v>0</v>
      </c>
      <c r="M42" s="71">
        <f t="shared" si="27"/>
        <v>0</v>
      </c>
      <c r="N42" s="76">
        <f t="shared" si="5"/>
        <v>0</v>
      </c>
      <c r="O42" s="71">
        <f t="shared" si="27"/>
        <v>0</v>
      </c>
      <c r="P42" s="71">
        <f t="shared" si="27"/>
        <v>0</v>
      </c>
      <c r="Q42" s="71">
        <f t="shared" si="27"/>
        <v>0</v>
      </c>
      <c r="R42" s="77">
        <f t="shared" si="27"/>
        <v>0</v>
      </c>
      <c r="S42" s="71"/>
      <c r="T42" s="71">
        <f t="shared" si="27"/>
        <v>0</v>
      </c>
      <c r="U42" s="71">
        <f t="shared" si="27"/>
        <v>0</v>
      </c>
      <c r="V42" s="76">
        <f t="shared" si="18"/>
        <v>0</v>
      </c>
      <c r="W42" s="339"/>
      <c r="X42" s="344">
        <f>+F42*70%</f>
        <v>0</v>
      </c>
      <c r="Y42" s="72">
        <v>5000</v>
      </c>
    </row>
    <row r="43" spans="1:25" ht="18" customHeight="1" x14ac:dyDescent="0.2">
      <c r="A43" s="11"/>
      <c r="B43" s="59" t="s">
        <v>133</v>
      </c>
      <c r="C43" s="12"/>
      <c r="D43" s="12"/>
      <c r="E43" s="71">
        <f>SUM(E44)</f>
        <v>0</v>
      </c>
      <c r="F43" s="71">
        <f t="shared" ref="F43:V43" si="28">SUM(F44)</f>
        <v>0</v>
      </c>
      <c r="G43" s="71">
        <f t="shared" si="28"/>
        <v>0</v>
      </c>
      <c r="H43" s="31">
        <f t="shared" si="4"/>
        <v>0</v>
      </c>
      <c r="I43" s="71">
        <f t="shared" si="28"/>
        <v>0</v>
      </c>
      <c r="J43" s="71">
        <f t="shared" si="28"/>
        <v>0</v>
      </c>
      <c r="K43" s="71">
        <f t="shared" si="28"/>
        <v>0</v>
      </c>
      <c r="L43" s="71">
        <f t="shared" si="28"/>
        <v>0</v>
      </c>
      <c r="M43" s="71">
        <f t="shared" si="28"/>
        <v>0</v>
      </c>
      <c r="N43" s="76">
        <f t="shared" si="5"/>
        <v>0</v>
      </c>
      <c r="O43" s="71">
        <f t="shared" si="28"/>
        <v>0</v>
      </c>
      <c r="P43" s="71">
        <f t="shared" si="28"/>
        <v>0</v>
      </c>
      <c r="Q43" s="71">
        <f t="shared" si="28"/>
        <v>0</v>
      </c>
      <c r="R43" s="77">
        <f t="shared" si="28"/>
        <v>0</v>
      </c>
      <c r="S43" s="71"/>
      <c r="T43" s="71">
        <f t="shared" si="28"/>
        <v>0</v>
      </c>
      <c r="U43" s="71">
        <f t="shared" si="28"/>
        <v>0</v>
      </c>
      <c r="V43" s="71">
        <f t="shared" si="28"/>
        <v>0</v>
      </c>
      <c r="W43" s="551"/>
      <c r="X43" s="344">
        <f>+F43*70%</f>
        <v>0</v>
      </c>
    </row>
    <row r="44" spans="1:25" x14ac:dyDescent="0.2">
      <c r="A44" s="11"/>
      <c r="B44" s="58"/>
      <c r="C44" s="12"/>
      <c r="D44" s="454"/>
      <c r="E44" s="409"/>
      <c r="F44" s="27"/>
      <c r="G44" s="27"/>
      <c r="H44" s="31"/>
      <c r="I44" s="27"/>
      <c r="J44" s="27"/>
      <c r="K44" s="27"/>
      <c r="L44" s="27"/>
      <c r="M44" s="27"/>
      <c r="N44" s="76"/>
      <c r="O44" s="76"/>
      <c r="P44" s="27"/>
      <c r="Q44" s="27"/>
      <c r="R44" s="27"/>
      <c r="S44" s="27"/>
      <c r="T44" s="27"/>
      <c r="U44" s="27"/>
      <c r="V44" s="76"/>
      <c r="W44" s="353"/>
      <c r="X44" s="344"/>
    </row>
    <row r="45" spans="1:25" x14ac:dyDescent="0.2">
      <c r="A45" s="11" t="s">
        <v>103</v>
      </c>
      <c r="B45" s="50" t="s">
        <v>16</v>
      </c>
      <c r="C45" s="12"/>
      <c r="D45" s="12"/>
      <c r="E45" s="71">
        <f>E46+E48</f>
        <v>2</v>
      </c>
      <c r="F45" s="71">
        <f t="shared" ref="F45:V45" si="29">F46+F48</f>
        <v>14950</v>
      </c>
      <c r="G45" s="71">
        <f t="shared" si="29"/>
        <v>0</v>
      </c>
      <c r="H45" s="31">
        <f t="shared" si="4"/>
        <v>400</v>
      </c>
      <c r="I45" s="71">
        <f t="shared" si="29"/>
        <v>0</v>
      </c>
      <c r="J45" s="71">
        <f t="shared" si="29"/>
        <v>0</v>
      </c>
      <c r="K45" s="71">
        <f t="shared" si="29"/>
        <v>0</v>
      </c>
      <c r="L45" s="71">
        <f t="shared" si="29"/>
        <v>400</v>
      </c>
      <c r="M45" s="71">
        <f t="shared" si="29"/>
        <v>0</v>
      </c>
      <c r="N45" s="76">
        <f t="shared" si="5"/>
        <v>0</v>
      </c>
      <c r="O45" s="71">
        <f t="shared" si="29"/>
        <v>9930</v>
      </c>
      <c r="P45" s="71">
        <f t="shared" si="29"/>
        <v>0</v>
      </c>
      <c r="Q45" s="71">
        <f t="shared" si="29"/>
        <v>0</v>
      </c>
      <c r="R45" s="77">
        <f t="shared" si="29"/>
        <v>7730</v>
      </c>
      <c r="S45" s="71"/>
      <c r="T45" s="71">
        <f t="shared" si="29"/>
        <v>2200</v>
      </c>
      <c r="U45" s="71">
        <f t="shared" si="29"/>
        <v>0</v>
      </c>
      <c r="V45" s="71">
        <f t="shared" si="29"/>
        <v>12930</v>
      </c>
      <c r="W45" s="343"/>
      <c r="X45" s="344">
        <f>+F45*70%</f>
        <v>10465</v>
      </c>
      <c r="Y45" s="72" t="s">
        <v>138</v>
      </c>
    </row>
    <row r="46" spans="1:25" x14ac:dyDescent="0.2">
      <c r="A46" s="11"/>
      <c r="B46" s="50" t="s">
        <v>48</v>
      </c>
      <c r="C46" s="12"/>
      <c r="D46" s="12"/>
      <c r="E46" s="71">
        <f>SUM(E47)</f>
        <v>1</v>
      </c>
      <c r="F46" s="71">
        <f t="shared" ref="F46:V46" si="30">SUM(F47)</f>
        <v>14950</v>
      </c>
      <c r="G46" s="71">
        <f t="shared" si="30"/>
        <v>0</v>
      </c>
      <c r="H46" s="31">
        <f t="shared" si="4"/>
        <v>200</v>
      </c>
      <c r="I46" s="71">
        <f t="shared" si="30"/>
        <v>0</v>
      </c>
      <c r="J46" s="71">
        <f t="shared" si="30"/>
        <v>0</v>
      </c>
      <c r="K46" s="71">
        <f t="shared" si="30"/>
        <v>0</v>
      </c>
      <c r="L46" s="71">
        <f t="shared" si="30"/>
        <v>200</v>
      </c>
      <c r="M46" s="71">
        <f t="shared" si="30"/>
        <v>0</v>
      </c>
      <c r="N46" s="76">
        <f t="shared" si="5"/>
        <v>0</v>
      </c>
      <c r="O46" s="71">
        <f t="shared" si="30"/>
        <v>8730</v>
      </c>
      <c r="P46" s="71">
        <f t="shared" si="30"/>
        <v>0</v>
      </c>
      <c r="Q46" s="71">
        <f t="shared" si="30"/>
        <v>0</v>
      </c>
      <c r="R46" s="77">
        <f t="shared" si="30"/>
        <v>6730</v>
      </c>
      <c r="S46" s="71"/>
      <c r="T46" s="71">
        <f t="shared" si="30"/>
        <v>2000</v>
      </c>
      <c r="U46" s="71">
        <f t="shared" si="30"/>
        <v>0</v>
      </c>
      <c r="V46" s="71">
        <f t="shared" si="30"/>
        <v>11730</v>
      </c>
      <c r="W46" s="343"/>
      <c r="X46" s="344">
        <f>+F46*70%</f>
        <v>10465</v>
      </c>
    </row>
    <row r="47" spans="1:25" s="90" customFormat="1" ht="51.75" customHeight="1" x14ac:dyDescent="0.2">
      <c r="A47" s="345">
        <v>1</v>
      </c>
      <c r="B47" s="132" t="s">
        <v>159</v>
      </c>
      <c r="C47" s="55" t="s">
        <v>16</v>
      </c>
      <c r="D47" s="55" t="s">
        <v>47</v>
      </c>
      <c r="E47" s="137">
        <v>1</v>
      </c>
      <c r="F47" s="133">
        <v>14950</v>
      </c>
      <c r="G47" s="133"/>
      <c r="H47" s="31">
        <f t="shared" si="4"/>
        <v>200</v>
      </c>
      <c r="I47" s="134"/>
      <c r="J47" s="134"/>
      <c r="K47" s="135">
        <v>0</v>
      </c>
      <c r="L47" s="136">
        <v>200</v>
      </c>
      <c r="M47" s="137">
        <v>0</v>
      </c>
      <c r="N47" s="76">
        <v>3000</v>
      </c>
      <c r="O47" s="76">
        <f>SUM(P47:U47)</f>
        <v>8730</v>
      </c>
      <c r="P47" s="137"/>
      <c r="Q47" s="137"/>
      <c r="R47" s="137">
        <v>6730</v>
      </c>
      <c r="S47" s="137"/>
      <c r="T47" s="137">
        <v>2000</v>
      </c>
      <c r="U47" s="137"/>
      <c r="V47" s="76">
        <f>N47+O47</f>
        <v>11730</v>
      </c>
      <c r="W47" s="26"/>
      <c r="X47" s="348">
        <f>+F47*70%</f>
        <v>10465</v>
      </c>
      <c r="Y47" s="90" t="s">
        <v>137</v>
      </c>
    </row>
    <row r="48" spans="1:25" ht="27" customHeight="1" x14ac:dyDescent="0.2">
      <c r="A48" s="11"/>
      <c r="B48" s="14" t="s">
        <v>49</v>
      </c>
      <c r="C48" s="22"/>
      <c r="D48" s="22"/>
      <c r="E48" s="35">
        <f t="shared" ref="E48:V48" si="31">SUM(E49:E49)</f>
        <v>1</v>
      </c>
      <c r="F48" s="35">
        <f t="shared" si="31"/>
        <v>0</v>
      </c>
      <c r="G48" s="35">
        <f t="shared" si="31"/>
        <v>0</v>
      </c>
      <c r="H48" s="35">
        <f t="shared" si="31"/>
        <v>200</v>
      </c>
      <c r="I48" s="35">
        <f t="shared" si="31"/>
        <v>0</v>
      </c>
      <c r="J48" s="35">
        <f t="shared" si="31"/>
        <v>0</v>
      </c>
      <c r="K48" s="35">
        <f t="shared" si="31"/>
        <v>0</v>
      </c>
      <c r="L48" s="35">
        <f t="shared" si="31"/>
        <v>200</v>
      </c>
      <c r="M48" s="35">
        <f t="shared" si="31"/>
        <v>0</v>
      </c>
      <c r="N48" s="35">
        <f t="shared" si="31"/>
        <v>0</v>
      </c>
      <c r="O48" s="35">
        <f t="shared" si="31"/>
        <v>1200</v>
      </c>
      <c r="P48" s="35">
        <f t="shared" si="31"/>
        <v>0</v>
      </c>
      <c r="Q48" s="35">
        <f t="shared" si="31"/>
        <v>0</v>
      </c>
      <c r="R48" s="35">
        <f t="shared" si="31"/>
        <v>1000</v>
      </c>
      <c r="S48" s="35">
        <f t="shared" si="31"/>
        <v>0</v>
      </c>
      <c r="T48" s="35">
        <f t="shared" si="31"/>
        <v>200</v>
      </c>
      <c r="U48" s="35">
        <f t="shared" si="31"/>
        <v>0</v>
      </c>
      <c r="V48" s="35">
        <f t="shared" si="31"/>
        <v>1200</v>
      </c>
      <c r="W48" s="60"/>
      <c r="X48" s="344"/>
    </row>
    <row r="49" spans="1:25" ht="31.5" x14ac:dyDescent="0.2">
      <c r="A49" s="11">
        <v>1</v>
      </c>
      <c r="B49" s="61" t="s">
        <v>616</v>
      </c>
      <c r="C49" s="22" t="s">
        <v>16</v>
      </c>
      <c r="D49" s="22" t="s">
        <v>370</v>
      </c>
      <c r="E49" s="62">
        <v>1</v>
      </c>
      <c r="F49" s="63"/>
      <c r="G49" s="63"/>
      <c r="H49" s="31">
        <f t="shared" ref="H49" si="32">SUM(I49:M49)</f>
        <v>200</v>
      </c>
      <c r="I49" s="64"/>
      <c r="J49" s="64"/>
      <c r="K49" s="477"/>
      <c r="L49" s="65">
        <v>200</v>
      </c>
      <c r="M49" s="62"/>
      <c r="N49" s="76">
        <f t="shared" ref="N49" si="33">G49+I49+J49+K49</f>
        <v>0</v>
      </c>
      <c r="O49" s="76">
        <f t="shared" ref="O49" si="34">SUM(P49:U49)</f>
        <v>1200</v>
      </c>
      <c r="P49" s="62"/>
      <c r="Q49" s="62"/>
      <c r="R49" s="137">
        <v>1000</v>
      </c>
      <c r="S49" s="62"/>
      <c r="T49" s="62">
        <v>200</v>
      </c>
      <c r="U49" s="62"/>
      <c r="V49" s="76">
        <f>N49+O49</f>
        <v>1200</v>
      </c>
      <c r="W49" s="353" t="s">
        <v>134</v>
      </c>
      <c r="X49" s="344">
        <f t="shared" ref="X49" si="35">+F49*70%</f>
        <v>0</v>
      </c>
    </row>
    <row r="50" spans="1:25" ht="31.5" customHeight="1" x14ac:dyDescent="0.2">
      <c r="A50" s="11" t="s">
        <v>104</v>
      </c>
      <c r="B50" s="50" t="s">
        <v>15</v>
      </c>
      <c r="C50" s="12"/>
      <c r="D50" s="12"/>
      <c r="E50" s="71">
        <f>E51</f>
        <v>2</v>
      </c>
      <c r="F50" s="71">
        <f t="shared" ref="F50:V50" si="36">F51</f>
        <v>3000</v>
      </c>
      <c r="G50" s="71">
        <f t="shared" si="36"/>
        <v>0</v>
      </c>
      <c r="H50" s="31">
        <f t="shared" si="4"/>
        <v>400</v>
      </c>
      <c r="I50" s="71">
        <f t="shared" si="36"/>
        <v>0</v>
      </c>
      <c r="J50" s="71">
        <f t="shared" si="36"/>
        <v>0</v>
      </c>
      <c r="K50" s="71">
        <f t="shared" si="36"/>
        <v>0</v>
      </c>
      <c r="L50" s="71">
        <f t="shared" si="36"/>
        <v>400</v>
      </c>
      <c r="M50" s="71">
        <f t="shared" si="36"/>
        <v>0</v>
      </c>
      <c r="N50" s="76">
        <f t="shared" si="5"/>
        <v>0</v>
      </c>
      <c r="O50" s="71">
        <f t="shared" si="36"/>
        <v>1200</v>
      </c>
      <c r="P50" s="71">
        <f t="shared" si="36"/>
        <v>0</v>
      </c>
      <c r="Q50" s="71">
        <f t="shared" si="36"/>
        <v>0</v>
      </c>
      <c r="R50" s="77">
        <f t="shared" si="36"/>
        <v>0</v>
      </c>
      <c r="S50" s="71"/>
      <c r="T50" s="71">
        <f t="shared" si="36"/>
        <v>1200</v>
      </c>
      <c r="U50" s="71">
        <f t="shared" si="36"/>
        <v>0</v>
      </c>
      <c r="V50" s="71">
        <f t="shared" si="36"/>
        <v>1200</v>
      </c>
      <c r="W50" s="551">
        <f>SUM(W51:W53)</f>
        <v>0</v>
      </c>
      <c r="X50" s="344">
        <f t="shared" ref="X50:X63" si="37">+F50*70%</f>
        <v>2100</v>
      </c>
    </row>
    <row r="51" spans="1:25" s="159" customFormat="1" ht="33.75" customHeight="1" x14ac:dyDescent="0.25">
      <c r="A51" s="163"/>
      <c r="B51" s="66" t="s">
        <v>49</v>
      </c>
      <c r="C51" s="67"/>
      <c r="D51" s="354"/>
      <c r="E51" s="64">
        <f>SUM(E52:E53)</f>
        <v>2</v>
      </c>
      <c r="F51" s="64">
        <f t="shared" ref="F51:V51" si="38">SUM(F52:F53)</f>
        <v>3000</v>
      </c>
      <c r="G51" s="64">
        <f t="shared" si="38"/>
        <v>0</v>
      </c>
      <c r="H51" s="64">
        <f t="shared" si="38"/>
        <v>400</v>
      </c>
      <c r="I51" s="64">
        <f t="shared" si="38"/>
        <v>0</v>
      </c>
      <c r="J51" s="64">
        <f t="shared" si="38"/>
        <v>0</v>
      </c>
      <c r="K51" s="64">
        <f t="shared" si="38"/>
        <v>0</v>
      </c>
      <c r="L51" s="64">
        <f t="shared" si="38"/>
        <v>400</v>
      </c>
      <c r="M51" s="64">
        <f t="shared" si="38"/>
        <v>0</v>
      </c>
      <c r="N51" s="64">
        <f t="shared" si="38"/>
        <v>0</v>
      </c>
      <c r="O51" s="64">
        <f t="shared" si="38"/>
        <v>1200</v>
      </c>
      <c r="P51" s="64">
        <f t="shared" si="38"/>
        <v>0</v>
      </c>
      <c r="Q51" s="64">
        <f t="shared" si="38"/>
        <v>0</v>
      </c>
      <c r="R51" s="64">
        <f t="shared" si="38"/>
        <v>0</v>
      </c>
      <c r="S51" s="64">
        <f t="shared" si="38"/>
        <v>0</v>
      </c>
      <c r="T51" s="64">
        <f t="shared" si="38"/>
        <v>1200</v>
      </c>
      <c r="U51" s="64">
        <f t="shared" si="38"/>
        <v>0</v>
      </c>
      <c r="V51" s="64">
        <f t="shared" si="38"/>
        <v>1200</v>
      </c>
      <c r="W51" s="64">
        <f>SUM(W53:W53)</f>
        <v>0</v>
      </c>
      <c r="X51" s="344">
        <f t="shared" si="37"/>
        <v>2100</v>
      </c>
    </row>
    <row r="52" spans="1:25" ht="47.25" x14ac:dyDescent="0.2">
      <c r="A52" s="163">
        <v>1</v>
      </c>
      <c r="B52" s="68" t="s">
        <v>160</v>
      </c>
      <c r="C52" s="53"/>
      <c r="D52" s="355" t="s">
        <v>370</v>
      </c>
      <c r="E52" s="62">
        <v>1</v>
      </c>
      <c r="F52" s="62">
        <v>3000</v>
      </c>
      <c r="G52" s="62"/>
      <c r="H52" s="31">
        <f t="shared" ref="H52" si="39">SUM(I52:M52)</f>
        <v>200</v>
      </c>
      <c r="I52" s="62"/>
      <c r="J52" s="62"/>
      <c r="K52" s="62"/>
      <c r="L52" s="69">
        <v>200</v>
      </c>
      <c r="M52" s="62"/>
      <c r="N52" s="76">
        <f t="shared" ref="N52" si="40">G52+I52+J52+K52</f>
        <v>0</v>
      </c>
      <c r="O52" s="76">
        <f t="shared" ref="O52" si="41">SUM(P52:U52)</f>
        <v>1000</v>
      </c>
      <c r="P52" s="62"/>
      <c r="Q52" s="62"/>
      <c r="R52" s="137"/>
      <c r="S52" s="62"/>
      <c r="T52" s="62">
        <v>1000</v>
      </c>
      <c r="U52" s="62"/>
      <c r="V52" s="76">
        <f>N52+O52</f>
        <v>1000</v>
      </c>
      <c r="W52" s="353" t="s">
        <v>232</v>
      </c>
      <c r="X52" s="344">
        <f t="shared" ref="X52" si="42">+F52*70%</f>
        <v>2100</v>
      </c>
    </row>
    <row r="53" spans="1:25" ht="47.25" x14ac:dyDescent="0.2">
      <c r="A53" s="163">
        <v>2</v>
      </c>
      <c r="B53" s="68" t="s">
        <v>457</v>
      </c>
      <c r="C53" s="53"/>
      <c r="D53" s="355" t="s">
        <v>370</v>
      </c>
      <c r="E53" s="62">
        <v>1</v>
      </c>
      <c r="F53" s="62">
        <v>0</v>
      </c>
      <c r="G53" s="62"/>
      <c r="H53" s="31">
        <f t="shared" si="4"/>
        <v>200</v>
      </c>
      <c r="I53" s="62"/>
      <c r="J53" s="62"/>
      <c r="K53" s="62"/>
      <c r="L53" s="69">
        <v>200</v>
      </c>
      <c r="M53" s="62"/>
      <c r="N53" s="76">
        <f t="shared" si="5"/>
        <v>0</v>
      </c>
      <c r="O53" s="76">
        <f t="shared" si="3"/>
        <v>200</v>
      </c>
      <c r="P53" s="62"/>
      <c r="Q53" s="62"/>
      <c r="R53" s="137"/>
      <c r="S53" s="62"/>
      <c r="T53" s="62">
        <v>200</v>
      </c>
      <c r="U53" s="62"/>
      <c r="V53" s="76">
        <f>N53+O53</f>
        <v>200</v>
      </c>
      <c r="W53" s="353" t="s">
        <v>232</v>
      </c>
      <c r="X53" s="344">
        <f t="shared" si="37"/>
        <v>0</v>
      </c>
    </row>
    <row r="54" spans="1:25" ht="20.25" customHeight="1" x14ac:dyDescent="0.2">
      <c r="A54" s="11" t="s">
        <v>105</v>
      </c>
      <c r="B54" s="50" t="s">
        <v>14</v>
      </c>
      <c r="C54" s="12"/>
      <c r="D54" s="12"/>
      <c r="E54" s="71">
        <f>E55+E57</f>
        <v>3</v>
      </c>
      <c r="F54" s="71">
        <f t="shared" ref="F54:V54" si="43">F55+F57</f>
        <v>2500</v>
      </c>
      <c r="G54" s="71">
        <f t="shared" si="43"/>
        <v>0</v>
      </c>
      <c r="H54" s="71">
        <f t="shared" si="43"/>
        <v>5000</v>
      </c>
      <c r="I54" s="71">
        <f t="shared" si="43"/>
        <v>0</v>
      </c>
      <c r="J54" s="71">
        <f t="shared" si="43"/>
        <v>0</v>
      </c>
      <c r="K54" s="71">
        <f t="shared" si="43"/>
        <v>1000</v>
      </c>
      <c r="L54" s="71">
        <f t="shared" si="43"/>
        <v>1800</v>
      </c>
      <c r="M54" s="71">
        <f t="shared" si="43"/>
        <v>2200</v>
      </c>
      <c r="N54" s="71">
        <f t="shared" si="43"/>
        <v>500</v>
      </c>
      <c r="O54" s="71">
        <f t="shared" si="43"/>
        <v>900</v>
      </c>
      <c r="P54" s="71">
        <f t="shared" si="43"/>
        <v>0</v>
      </c>
      <c r="Q54" s="71">
        <f t="shared" si="43"/>
        <v>0</v>
      </c>
      <c r="R54" s="71">
        <f t="shared" si="43"/>
        <v>0</v>
      </c>
      <c r="S54" s="71">
        <f t="shared" si="43"/>
        <v>0</v>
      </c>
      <c r="T54" s="71">
        <f t="shared" si="43"/>
        <v>900</v>
      </c>
      <c r="U54" s="71">
        <f t="shared" si="43"/>
        <v>0</v>
      </c>
      <c r="V54" s="71">
        <f t="shared" si="43"/>
        <v>1400</v>
      </c>
      <c r="W54" s="551"/>
      <c r="X54" s="344">
        <f t="shared" si="37"/>
        <v>1750</v>
      </c>
      <c r="Y54" s="72">
        <v>3000</v>
      </c>
    </row>
    <row r="55" spans="1:25" s="159" customFormat="1" ht="26.25" customHeight="1" x14ac:dyDescent="0.25">
      <c r="A55" s="11"/>
      <c r="B55" s="50" t="s">
        <v>48</v>
      </c>
      <c r="C55" s="18"/>
      <c r="D55" s="12"/>
      <c r="E55" s="71">
        <f>SUM(E56)</f>
        <v>1</v>
      </c>
      <c r="F55" s="71">
        <f t="shared" ref="F55:V55" si="44">SUM(F56)</f>
        <v>2500</v>
      </c>
      <c r="G55" s="71">
        <f t="shared" si="44"/>
        <v>0</v>
      </c>
      <c r="H55" s="31">
        <f t="shared" ref="H55:H56" si="45">SUM(I55:M55)</f>
        <v>2500</v>
      </c>
      <c r="I55" s="71">
        <f t="shared" si="44"/>
        <v>0</v>
      </c>
      <c r="J55" s="71">
        <f t="shared" si="44"/>
        <v>0</v>
      </c>
      <c r="K55" s="71">
        <f t="shared" si="44"/>
        <v>500</v>
      </c>
      <c r="L55" s="71">
        <f t="shared" si="44"/>
        <v>900</v>
      </c>
      <c r="M55" s="71">
        <f t="shared" si="44"/>
        <v>1100</v>
      </c>
      <c r="N55" s="76">
        <f t="shared" ref="N55:N56" si="46">G55+I55+J55+K55</f>
        <v>500</v>
      </c>
      <c r="O55" s="71">
        <f t="shared" si="44"/>
        <v>500</v>
      </c>
      <c r="P55" s="71">
        <f t="shared" si="44"/>
        <v>0</v>
      </c>
      <c r="Q55" s="71">
        <f t="shared" si="44"/>
        <v>0</v>
      </c>
      <c r="R55" s="77">
        <f t="shared" si="44"/>
        <v>0</v>
      </c>
      <c r="S55" s="71"/>
      <c r="T55" s="71">
        <f t="shared" si="44"/>
        <v>500</v>
      </c>
      <c r="U55" s="71">
        <f t="shared" si="44"/>
        <v>0</v>
      </c>
      <c r="V55" s="71">
        <f t="shared" si="44"/>
        <v>1000</v>
      </c>
      <c r="W55" s="343"/>
      <c r="X55" s="344">
        <f t="shared" ref="X55:X56" si="47">+F55*70%</f>
        <v>1750</v>
      </c>
    </row>
    <row r="56" spans="1:25" s="90" customFormat="1" ht="31.5" x14ac:dyDescent="0.2">
      <c r="A56" s="345">
        <v>1</v>
      </c>
      <c r="B56" s="54" t="s">
        <v>64</v>
      </c>
      <c r="C56" s="26"/>
      <c r="D56" s="356" t="s">
        <v>43</v>
      </c>
      <c r="E56" s="73">
        <v>1</v>
      </c>
      <c r="F56" s="49">
        <v>2500</v>
      </c>
      <c r="G56" s="49"/>
      <c r="H56" s="31">
        <f t="shared" si="45"/>
        <v>2500</v>
      </c>
      <c r="I56" s="77"/>
      <c r="J56" s="77"/>
      <c r="K56" s="77">
        <v>500</v>
      </c>
      <c r="L56" s="78">
        <v>900</v>
      </c>
      <c r="M56" s="49">
        <v>1100</v>
      </c>
      <c r="N56" s="76">
        <f t="shared" si="46"/>
        <v>500</v>
      </c>
      <c r="O56" s="76">
        <f t="shared" ref="O56" si="48">SUM(P56:U56)</f>
        <v>500</v>
      </c>
      <c r="P56" s="49"/>
      <c r="Q56" s="49"/>
      <c r="R56" s="49"/>
      <c r="S56" s="49"/>
      <c r="T56" s="49">
        <v>500</v>
      </c>
      <c r="U56" s="49"/>
      <c r="V56" s="76">
        <f>N56+O56</f>
        <v>1000</v>
      </c>
      <c r="W56" s="357"/>
      <c r="X56" s="348">
        <f t="shared" si="47"/>
        <v>1750</v>
      </c>
    </row>
    <row r="57" spans="1:25" s="159" customFormat="1" ht="26.25" customHeight="1" x14ac:dyDescent="0.25">
      <c r="A57" s="11"/>
      <c r="B57" s="50" t="s">
        <v>133</v>
      </c>
      <c r="C57" s="18"/>
      <c r="D57" s="12"/>
      <c r="E57" s="71">
        <f>SUM(E58:E59)</f>
        <v>2</v>
      </c>
      <c r="F57" s="71">
        <f t="shared" ref="F57:V57" si="49">SUM(F58:F59)</f>
        <v>0</v>
      </c>
      <c r="G57" s="71">
        <f t="shared" si="49"/>
        <v>0</v>
      </c>
      <c r="H57" s="71">
        <f t="shared" si="49"/>
        <v>2500</v>
      </c>
      <c r="I57" s="71">
        <f t="shared" si="49"/>
        <v>0</v>
      </c>
      <c r="J57" s="71">
        <f t="shared" si="49"/>
        <v>0</v>
      </c>
      <c r="K57" s="71">
        <f t="shared" si="49"/>
        <v>500</v>
      </c>
      <c r="L57" s="71">
        <f t="shared" si="49"/>
        <v>900</v>
      </c>
      <c r="M57" s="71">
        <f t="shared" si="49"/>
        <v>1100</v>
      </c>
      <c r="N57" s="71">
        <f t="shared" si="49"/>
        <v>0</v>
      </c>
      <c r="O57" s="71">
        <f t="shared" si="49"/>
        <v>400</v>
      </c>
      <c r="P57" s="71">
        <f t="shared" si="49"/>
        <v>0</v>
      </c>
      <c r="Q57" s="71">
        <f t="shared" si="49"/>
        <v>0</v>
      </c>
      <c r="R57" s="71">
        <f t="shared" si="49"/>
        <v>0</v>
      </c>
      <c r="S57" s="71">
        <f t="shared" si="49"/>
        <v>0</v>
      </c>
      <c r="T57" s="71">
        <f t="shared" si="49"/>
        <v>400</v>
      </c>
      <c r="U57" s="71">
        <f t="shared" si="49"/>
        <v>0</v>
      </c>
      <c r="V57" s="71">
        <f t="shared" si="49"/>
        <v>400</v>
      </c>
      <c r="W57" s="343"/>
      <c r="X57" s="344">
        <f t="shared" si="37"/>
        <v>0</v>
      </c>
    </row>
    <row r="58" spans="1:25" ht="31.5" x14ac:dyDescent="0.2">
      <c r="A58" s="92">
        <v>1</v>
      </c>
      <c r="B58" s="51" t="s">
        <v>408</v>
      </c>
      <c r="C58" s="60"/>
      <c r="D58" s="22" t="s">
        <v>370</v>
      </c>
      <c r="E58" s="70">
        <v>1</v>
      </c>
      <c r="F58" s="70"/>
      <c r="G58" s="70"/>
      <c r="H58" s="31"/>
      <c r="I58" s="70"/>
      <c r="J58" s="70"/>
      <c r="K58" s="70"/>
      <c r="L58" s="70"/>
      <c r="M58" s="70"/>
      <c r="N58" s="31"/>
      <c r="O58" s="31">
        <f t="shared" ref="O58:O59" si="50">SUM(P58:U58)</f>
        <v>200</v>
      </c>
      <c r="P58" s="70"/>
      <c r="Q58" s="70"/>
      <c r="R58" s="73"/>
      <c r="S58" s="70"/>
      <c r="T58" s="70">
        <v>200</v>
      </c>
      <c r="U58" s="70"/>
      <c r="V58" s="31">
        <f>N58+O58</f>
        <v>200</v>
      </c>
      <c r="W58" s="371"/>
      <c r="X58" s="344"/>
    </row>
    <row r="59" spans="1:25" s="90" customFormat="1" ht="31.5" x14ac:dyDescent="0.2">
      <c r="A59" s="81">
        <v>2</v>
      </c>
      <c r="B59" s="54" t="s">
        <v>409</v>
      </c>
      <c r="C59" s="26"/>
      <c r="D59" s="356" t="s">
        <v>370</v>
      </c>
      <c r="E59" s="73">
        <v>1</v>
      </c>
      <c r="F59" s="49"/>
      <c r="G59" s="49"/>
      <c r="H59" s="31">
        <f t="shared" ref="H59" si="51">SUM(I59:M59)</f>
        <v>2500</v>
      </c>
      <c r="I59" s="73"/>
      <c r="J59" s="73"/>
      <c r="K59" s="73">
        <v>500</v>
      </c>
      <c r="L59" s="78">
        <v>900</v>
      </c>
      <c r="M59" s="49">
        <v>1100</v>
      </c>
      <c r="N59" s="31"/>
      <c r="O59" s="31">
        <f t="shared" si="50"/>
        <v>200</v>
      </c>
      <c r="P59" s="49"/>
      <c r="Q59" s="49"/>
      <c r="R59" s="49"/>
      <c r="S59" s="49"/>
      <c r="T59" s="49">
        <v>200</v>
      </c>
      <c r="U59" s="49"/>
      <c r="V59" s="31">
        <f>N59+O59</f>
        <v>200</v>
      </c>
      <c r="W59" s="347"/>
      <c r="X59" s="348">
        <f t="shared" si="37"/>
        <v>0</v>
      </c>
    </row>
    <row r="60" spans="1:25" s="161" customFormat="1" x14ac:dyDescent="0.2">
      <c r="A60" s="11" t="s">
        <v>106</v>
      </c>
      <c r="B60" s="50" t="s">
        <v>13</v>
      </c>
      <c r="C60" s="12"/>
      <c r="D60" s="12"/>
      <c r="E60" s="71">
        <f>E61+E64</f>
        <v>3</v>
      </c>
      <c r="F60" s="71">
        <f t="shared" ref="F60:V60" si="52">F61+F64</f>
        <v>17000</v>
      </c>
      <c r="G60" s="71">
        <f t="shared" si="52"/>
        <v>0</v>
      </c>
      <c r="H60" s="71">
        <f t="shared" si="52"/>
        <v>8000</v>
      </c>
      <c r="I60" s="71">
        <f t="shared" si="52"/>
        <v>0</v>
      </c>
      <c r="J60" s="71">
        <f t="shared" si="52"/>
        <v>1000</v>
      </c>
      <c r="K60" s="71">
        <f t="shared" si="52"/>
        <v>3000</v>
      </c>
      <c r="L60" s="71">
        <f t="shared" si="52"/>
        <v>4000</v>
      </c>
      <c r="M60" s="71">
        <f t="shared" si="52"/>
        <v>0</v>
      </c>
      <c r="N60" s="71">
        <f t="shared" si="52"/>
        <v>6000</v>
      </c>
      <c r="O60" s="71">
        <f t="shared" si="52"/>
        <v>2200</v>
      </c>
      <c r="P60" s="71">
        <f t="shared" si="52"/>
        <v>0</v>
      </c>
      <c r="Q60" s="71">
        <f t="shared" si="52"/>
        <v>0</v>
      </c>
      <c r="R60" s="77">
        <f t="shared" si="52"/>
        <v>0</v>
      </c>
      <c r="S60" s="71">
        <f t="shared" si="52"/>
        <v>0</v>
      </c>
      <c r="T60" s="71">
        <f t="shared" si="52"/>
        <v>2200</v>
      </c>
      <c r="U60" s="71">
        <f t="shared" si="52"/>
        <v>0</v>
      </c>
      <c r="V60" s="71">
        <f t="shared" si="52"/>
        <v>8200</v>
      </c>
      <c r="W60" s="71">
        <f>SUM(W62:W65)</f>
        <v>0</v>
      </c>
      <c r="X60" s="344">
        <f t="shared" si="37"/>
        <v>11900</v>
      </c>
    </row>
    <row r="61" spans="1:25" s="161" customFormat="1" x14ac:dyDescent="0.2">
      <c r="A61" s="11"/>
      <c r="B61" s="50" t="s">
        <v>48</v>
      </c>
      <c r="C61" s="12"/>
      <c r="D61" s="12"/>
      <c r="E61" s="71">
        <f>SUM(E62:E63)</f>
        <v>2</v>
      </c>
      <c r="F61" s="71">
        <f t="shared" ref="F61:V61" si="53">SUM(F62:F63)</f>
        <v>15000</v>
      </c>
      <c r="G61" s="71">
        <f t="shared" si="53"/>
        <v>0</v>
      </c>
      <c r="H61" s="71">
        <f t="shared" si="53"/>
        <v>7000</v>
      </c>
      <c r="I61" s="71">
        <f t="shared" si="53"/>
        <v>0</v>
      </c>
      <c r="J61" s="71">
        <f t="shared" si="53"/>
        <v>1000</v>
      </c>
      <c r="K61" s="71">
        <f t="shared" si="53"/>
        <v>3000</v>
      </c>
      <c r="L61" s="71">
        <f t="shared" si="53"/>
        <v>3000</v>
      </c>
      <c r="M61" s="71">
        <f t="shared" si="53"/>
        <v>0</v>
      </c>
      <c r="N61" s="71">
        <f t="shared" si="53"/>
        <v>6000</v>
      </c>
      <c r="O61" s="71">
        <f t="shared" si="53"/>
        <v>2000</v>
      </c>
      <c r="P61" s="71">
        <f t="shared" si="53"/>
        <v>0</v>
      </c>
      <c r="Q61" s="71">
        <f t="shared" si="53"/>
        <v>0</v>
      </c>
      <c r="R61" s="77">
        <f t="shared" si="53"/>
        <v>0</v>
      </c>
      <c r="S61" s="71">
        <f t="shared" si="53"/>
        <v>0</v>
      </c>
      <c r="T61" s="71">
        <f t="shared" si="53"/>
        <v>2000</v>
      </c>
      <c r="U61" s="71">
        <f t="shared" si="53"/>
        <v>0</v>
      </c>
      <c r="V61" s="71">
        <f t="shared" si="53"/>
        <v>8000</v>
      </c>
      <c r="W61" s="71">
        <f>SUM(W62:W65)</f>
        <v>0</v>
      </c>
      <c r="X61" s="344">
        <f t="shared" si="37"/>
        <v>10500</v>
      </c>
    </row>
    <row r="62" spans="1:25" s="90" customFormat="1" ht="42" customHeight="1" x14ac:dyDescent="0.2">
      <c r="A62" s="345">
        <v>1</v>
      </c>
      <c r="B62" s="87" t="s">
        <v>65</v>
      </c>
      <c r="C62" s="80"/>
      <c r="D62" s="358">
        <v>2023</v>
      </c>
      <c r="E62" s="359">
        <v>1</v>
      </c>
      <c r="F62" s="88">
        <v>5000</v>
      </c>
      <c r="G62" s="88"/>
      <c r="H62" s="31">
        <f t="shared" si="4"/>
        <v>4000</v>
      </c>
      <c r="I62" s="73"/>
      <c r="J62" s="73">
        <v>1000</v>
      </c>
      <c r="K62" s="73">
        <v>1000</v>
      </c>
      <c r="L62" s="89">
        <v>2000</v>
      </c>
      <c r="M62" s="73"/>
      <c r="N62" s="76">
        <f t="shared" si="5"/>
        <v>2000</v>
      </c>
      <c r="O62" s="76">
        <f t="shared" si="3"/>
        <v>1000</v>
      </c>
      <c r="P62" s="73"/>
      <c r="Q62" s="73"/>
      <c r="R62" s="73"/>
      <c r="S62" s="73"/>
      <c r="T62" s="73">
        <v>1000</v>
      </c>
      <c r="U62" s="73"/>
      <c r="V62" s="76">
        <f>N62+O62</f>
        <v>3000</v>
      </c>
      <c r="W62" s="347" t="s">
        <v>120</v>
      </c>
      <c r="X62" s="348">
        <f t="shared" si="37"/>
        <v>3500</v>
      </c>
      <c r="Y62" s="478" t="s">
        <v>316</v>
      </c>
    </row>
    <row r="63" spans="1:25" ht="69" customHeight="1" x14ac:dyDescent="0.2">
      <c r="A63" s="345">
        <v>2</v>
      </c>
      <c r="B63" s="478" t="s">
        <v>614</v>
      </c>
      <c r="C63" s="475"/>
      <c r="D63" s="479">
        <v>2023</v>
      </c>
      <c r="E63" s="480">
        <v>1</v>
      </c>
      <c r="F63" s="481">
        <v>10000</v>
      </c>
      <c r="G63" s="481"/>
      <c r="H63" s="31">
        <f t="shared" si="4"/>
        <v>3000</v>
      </c>
      <c r="I63" s="70"/>
      <c r="J63" s="70"/>
      <c r="K63" s="70">
        <v>2000</v>
      </c>
      <c r="L63" s="482">
        <v>1000</v>
      </c>
      <c r="M63" s="70"/>
      <c r="N63" s="76">
        <v>4000</v>
      </c>
      <c r="O63" s="76">
        <f t="shared" si="3"/>
        <v>1000</v>
      </c>
      <c r="P63" s="70"/>
      <c r="Q63" s="70"/>
      <c r="R63" s="73"/>
      <c r="S63" s="70"/>
      <c r="T63" s="70">
        <v>1000</v>
      </c>
      <c r="U63" s="70"/>
      <c r="V63" s="76">
        <f>N63+O63</f>
        <v>5000</v>
      </c>
      <c r="W63" s="353" t="s">
        <v>615</v>
      </c>
      <c r="X63" s="344">
        <f t="shared" si="37"/>
        <v>7000</v>
      </c>
      <c r="Y63" s="72" t="s">
        <v>139</v>
      </c>
    </row>
    <row r="64" spans="1:25" x14ac:dyDescent="0.2">
      <c r="A64" s="345"/>
      <c r="B64" s="59" t="s">
        <v>133</v>
      </c>
      <c r="C64" s="475"/>
      <c r="D64" s="479"/>
      <c r="E64" s="71">
        <f>SUM(E65)</f>
        <v>1</v>
      </c>
      <c r="F64" s="71">
        <f t="shared" ref="F64:V64" si="54">SUM(F65)</f>
        <v>2000</v>
      </c>
      <c r="G64" s="71">
        <f t="shared" si="54"/>
        <v>0</v>
      </c>
      <c r="H64" s="71">
        <f t="shared" si="54"/>
        <v>1000</v>
      </c>
      <c r="I64" s="71">
        <f t="shared" si="54"/>
        <v>0</v>
      </c>
      <c r="J64" s="71">
        <f t="shared" si="54"/>
        <v>0</v>
      </c>
      <c r="K64" s="71">
        <f t="shared" si="54"/>
        <v>0</v>
      </c>
      <c r="L64" s="71">
        <f t="shared" si="54"/>
        <v>1000</v>
      </c>
      <c r="M64" s="71">
        <f t="shared" si="54"/>
        <v>0</v>
      </c>
      <c r="N64" s="71">
        <f t="shared" si="54"/>
        <v>0</v>
      </c>
      <c r="O64" s="71">
        <f t="shared" si="54"/>
        <v>200</v>
      </c>
      <c r="P64" s="71">
        <f t="shared" si="54"/>
        <v>0</v>
      </c>
      <c r="Q64" s="71">
        <f t="shared" si="54"/>
        <v>0</v>
      </c>
      <c r="R64" s="77">
        <f t="shared" si="54"/>
        <v>0</v>
      </c>
      <c r="S64" s="71">
        <f t="shared" si="54"/>
        <v>0</v>
      </c>
      <c r="T64" s="71">
        <f t="shared" si="54"/>
        <v>200</v>
      </c>
      <c r="U64" s="71">
        <f t="shared" si="54"/>
        <v>0</v>
      </c>
      <c r="V64" s="71">
        <f t="shared" si="54"/>
        <v>200</v>
      </c>
      <c r="W64" s="353"/>
      <c r="X64" s="344"/>
    </row>
    <row r="65" spans="1:24" s="90" customFormat="1" ht="67.5" customHeight="1" x14ac:dyDescent="0.2">
      <c r="A65" s="345">
        <v>1</v>
      </c>
      <c r="B65" s="87" t="s">
        <v>161</v>
      </c>
      <c r="C65" s="80"/>
      <c r="D65" s="358">
        <v>2023</v>
      </c>
      <c r="E65" s="359">
        <v>1</v>
      </c>
      <c r="F65" s="88">
        <v>2000</v>
      </c>
      <c r="G65" s="88"/>
      <c r="H65" s="31">
        <f t="shared" si="4"/>
        <v>1000</v>
      </c>
      <c r="I65" s="73"/>
      <c r="J65" s="73"/>
      <c r="K65" s="73"/>
      <c r="L65" s="89">
        <v>1000</v>
      </c>
      <c r="M65" s="73"/>
      <c r="N65" s="76">
        <f t="shared" si="5"/>
        <v>0</v>
      </c>
      <c r="O65" s="76">
        <f t="shared" si="3"/>
        <v>200</v>
      </c>
      <c r="P65" s="73"/>
      <c r="Q65" s="73"/>
      <c r="R65" s="73"/>
      <c r="S65" s="73"/>
      <c r="T65" s="73">
        <v>200</v>
      </c>
      <c r="U65" s="73"/>
      <c r="V65" s="76">
        <f>N65+O65</f>
        <v>200</v>
      </c>
      <c r="W65" s="353" t="s">
        <v>232</v>
      </c>
      <c r="X65" s="348">
        <f t="shared" ref="X65:X89" si="55">+F65*70%</f>
        <v>1400</v>
      </c>
    </row>
    <row r="66" spans="1:24" ht="26.25" customHeight="1" x14ac:dyDescent="0.2">
      <c r="A66" s="11" t="s">
        <v>107</v>
      </c>
      <c r="B66" s="50" t="s">
        <v>12</v>
      </c>
      <c r="C66" s="12"/>
      <c r="D66" s="12"/>
      <c r="E66" s="71">
        <f>E67+E71</f>
        <v>6</v>
      </c>
      <c r="F66" s="71">
        <f t="shared" ref="F66:V66" si="56">F67+F71</f>
        <v>29500</v>
      </c>
      <c r="G66" s="71">
        <f t="shared" si="56"/>
        <v>0</v>
      </c>
      <c r="H66" s="71">
        <f t="shared" si="56"/>
        <v>23400</v>
      </c>
      <c r="I66" s="71">
        <f t="shared" si="56"/>
        <v>0</v>
      </c>
      <c r="J66" s="71">
        <f t="shared" si="56"/>
        <v>2000</v>
      </c>
      <c r="K66" s="71">
        <f t="shared" si="56"/>
        <v>9000</v>
      </c>
      <c r="L66" s="71">
        <f t="shared" si="56"/>
        <v>9400</v>
      </c>
      <c r="M66" s="71">
        <f t="shared" si="56"/>
        <v>3000</v>
      </c>
      <c r="N66" s="71">
        <f t="shared" si="56"/>
        <v>8000</v>
      </c>
      <c r="O66" s="71">
        <f t="shared" si="56"/>
        <v>4100</v>
      </c>
      <c r="P66" s="71">
        <f t="shared" si="56"/>
        <v>0</v>
      </c>
      <c r="Q66" s="71">
        <f t="shared" si="56"/>
        <v>0</v>
      </c>
      <c r="R66" s="71">
        <f t="shared" si="56"/>
        <v>0</v>
      </c>
      <c r="S66" s="71">
        <f t="shared" si="56"/>
        <v>0</v>
      </c>
      <c r="T66" s="71">
        <f t="shared" si="56"/>
        <v>3900</v>
      </c>
      <c r="U66" s="71">
        <f t="shared" si="56"/>
        <v>200</v>
      </c>
      <c r="V66" s="71">
        <f t="shared" si="56"/>
        <v>14200</v>
      </c>
      <c r="W66" s="360"/>
      <c r="X66" s="344">
        <f t="shared" si="55"/>
        <v>20650</v>
      </c>
    </row>
    <row r="67" spans="1:24" x14ac:dyDescent="0.2">
      <c r="A67" s="11"/>
      <c r="B67" s="50" t="s">
        <v>48</v>
      </c>
      <c r="C67" s="12"/>
      <c r="D67" s="12"/>
      <c r="E67" s="71">
        <f>SUM(E68:E70)</f>
        <v>3</v>
      </c>
      <c r="F67" s="71">
        <f t="shared" ref="F67:G67" si="57">SUM(F68:F70)</f>
        <v>24300</v>
      </c>
      <c r="G67" s="71">
        <f t="shared" si="57"/>
        <v>0</v>
      </c>
      <c r="H67" s="31">
        <f t="shared" ref="H67:H70" si="58">SUM(I67:M67)</f>
        <v>15200</v>
      </c>
      <c r="I67" s="71">
        <f t="shared" ref="I67:M67" si="59">SUM(I68:I70)</f>
        <v>0</v>
      </c>
      <c r="J67" s="71">
        <f t="shared" si="59"/>
        <v>1000</v>
      </c>
      <c r="K67" s="71">
        <f t="shared" si="59"/>
        <v>7000</v>
      </c>
      <c r="L67" s="71">
        <f t="shared" si="59"/>
        <v>5700</v>
      </c>
      <c r="M67" s="71">
        <f t="shared" si="59"/>
        <v>1500</v>
      </c>
      <c r="N67" s="76">
        <f t="shared" ref="N67:N68" si="60">G67+I67+J67+K67</f>
        <v>8000</v>
      </c>
      <c r="O67" s="71">
        <f t="shared" ref="O67:R67" si="61">SUM(O68:O70)</f>
        <v>2700</v>
      </c>
      <c r="P67" s="71">
        <f t="shared" si="61"/>
        <v>0</v>
      </c>
      <c r="Q67" s="71">
        <f t="shared" si="61"/>
        <v>0</v>
      </c>
      <c r="R67" s="77">
        <f t="shared" si="61"/>
        <v>0</v>
      </c>
      <c r="S67" s="71"/>
      <c r="T67" s="71">
        <f t="shared" ref="T67:V67" si="62">SUM(T68:T70)</f>
        <v>2500</v>
      </c>
      <c r="U67" s="71">
        <f t="shared" si="62"/>
        <v>200</v>
      </c>
      <c r="V67" s="71">
        <f t="shared" si="62"/>
        <v>12800</v>
      </c>
      <c r="W67" s="360"/>
      <c r="X67" s="344">
        <f t="shared" ref="X67:X70" si="63">+F67*70%</f>
        <v>17010</v>
      </c>
    </row>
    <row r="68" spans="1:24" s="90" customFormat="1" ht="31.5" x14ac:dyDescent="0.2">
      <c r="A68" s="345">
        <v>1</v>
      </c>
      <c r="B68" s="54" t="s">
        <v>54</v>
      </c>
      <c r="C68" s="55"/>
      <c r="D68" s="356" t="s">
        <v>47</v>
      </c>
      <c r="E68" s="73">
        <v>1</v>
      </c>
      <c r="F68" s="73">
        <v>10000</v>
      </c>
      <c r="G68" s="73"/>
      <c r="H68" s="31">
        <f t="shared" si="58"/>
        <v>5000</v>
      </c>
      <c r="I68" s="73"/>
      <c r="J68" s="73">
        <v>1000</v>
      </c>
      <c r="K68" s="73">
        <v>1000</v>
      </c>
      <c r="L68" s="74">
        <v>3000</v>
      </c>
      <c r="M68" s="73"/>
      <c r="N68" s="76">
        <f t="shared" si="60"/>
        <v>2000</v>
      </c>
      <c r="O68" s="76">
        <f t="shared" ref="O68:O70" si="64">SUM(P68:U68)</f>
        <v>1000</v>
      </c>
      <c r="P68" s="73"/>
      <c r="Q68" s="73"/>
      <c r="R68" s="73"/>
      <c r="S68" s="73"/>
      <c r="T68" s="73">
        <v>1000</v>
      </c>
      <c r="U68" s="73"/>
      <c r="V68" s="76">
        <f>N68+O68</f>
        <v>3000</v>
      </c>
      <c r="W68" s="361" t="s">
        <v>121</v>
      </c>
      <c r="X68" s="348">
        <f t="shared" si="63"/>
        <v>7000</v>
      </c>
    </row>
    <row r="69" spans="1:24" ht="31.5" x14ac:dyDescent="0.2">
      <c r="A69" s="11">
        <v>2</v>
      </c>
      <c r="B69" s="51" t="s">
        <v>53</v>
      </c>
      <c r="C69" s="22"/>
      <c r="D69" s="356" t="s">
        <v>47</v>
      </c>
      <c r="E69" s="70">
        <v>1</v>
      </c>
      <c r="F69" s="70">
        <v>13500</v>
      </c>
      <c r="G69" s="70"/>
      <c r="H69" s="31">
        <f t="shared" si="58"/>
        <v>7000</v>
      </c>
      <c r="I69" s="70"/>
      <c r="J69" s="70"/>
      <c r="K69" s="70">
        <v>5000</v>
      </c>
      <c r="L69" s="69">
        <v>2000</v>
      </c>
      <c r="M69" s="70"/>
      <c r="N69" s="76">
        <f>G69+I69+J69+K69+3100</f>
        <v>8100</v>
      </c>
      <c r="O69" s="76">
        <f t="shared" si="64"/>
        <v>1000</v>
      </c>
      <c r="P69" s="70"/>
      <c r="Q69" s="70"/>
      <c r="R69" s="73">
        <v>0</v>
      </c>
      <c r="S69" s="70"/>
      <c r="T69" s="70">
        <v>1000</v>
      </c>
      <c r="U69" s="70"/>
      <c r="V69" s="76">
        <f>N69+O69</f>
        <v>9100</v>
      </c>
      <c r="W69" s="362"/>
      <c r="X69" s="344">
        <f t="shared" si="63"/>
        <v>9450</v>
      </c>
    </row>
    <row r="70" spans="1:24" ht="47.25" x14ac:dyDescent="0.2">
      <c r="A70" s="11">
        <v>3</v>
      </c>
      <c r="B70" s="483" t="s">
        <v>162</v>
      </c>
      <c r="C70" s="22"/>
      <c r="D70" s="356" t="s">
        <v>47</v>
      </c>
      <c r="E70" s="70">
        <v>1</v>
      </c>
      <c r="F70" s="70">
        <v>800</v>
      </c>
      <c r="G70" s="70"/>
      <c r="H70" s="31">
        <f t="shared" si="58"/>
        <v>3200</v>
      </c>
      <c r="I70" s="70"/>
      <c r="J70" s="70"/>
      <c r="K70" s="70">
        <v>1000</v>
      </c>
      <c r="L70" s="69">
        <v>700</v>
      </c>
      <c r="M70" s="70">
        <v>1500</v>
      </c>
      <c r="N70" s="76"/>
      <c r="O70" s="76">
        <f t="shared" si="64"/>
        <v>700</v>
      </c>
      <c r="P70" s="70"/>
      <c r="Q70" s="70"/>
      <c r="R70" s="73"/>
      <c r="S70" s="70"/>
      <c r="T70" s="70">
        <v>500</v>
      </c>
      <c r="U70" s="70">
        <v>200</v>
      </c>
      <c r="V70" s="76">
        <f>N70+O70</f>
        <v>700</v>
      </c>
      <c r="W70" s="362"/>
      <c r="X70" s="344">
        <f t="shared" si="63"/>
        <v>560</v>
      </c>
    </row>
    <row r="71" spans="1:24" x14ac:dyDescent="0.2">
      <c r="A71" s="11"/>
      <c r="B71" s="50" t="s">
        <v>436</v>
      </c>
      <c r="C71" s="12"/>
      <c r="D71" s="12"/>
      <c r="E71" s="71">
        <f t="shared" ref="E71:V71" si="65">SUM(E72:E74)</f>
        <v>3</v>
      </c>
      <c r="F71" s="71">
        <f t="shared" si="65"/>
        <v>5200</v>
      </c>
      <c r="G71" s="71">
        <f t="shared" si="65"/>
        <v>0</v>
      </c>
      <c r="H71" s="71">
        <f t="shared" si="65"/>
        <v>8200</v>
      </c>
      <c r="I71" s="71">
        <f t="shared" si="65"/>
        <v>0</v>
      </c>
      <c r="J71" s="71">
        <f t="shared" si="65"/>
        <v>1000</v>
      </c>
      <c r="K71" s="71">
        <f t="shared" si="65"/>
        <v>2000</v>
      </c>
      <c r="L71" s="71">
        <f t="shared" si="65"/>
        <v>3700</v>
      </c>
      <c r="M71" s="71">
        <f t="shared" si="65"/>
        <v>1500</v>
      </c>
      <c r="N71" s="71">
        <f t="shared" si="65"/>
        <v>0</v>
      </c>
      <c r="O71" s="71">
        <f t="shared" si="65"/>
        <v>1400</v>
      </c>
      <c r="P71" s="71">
        <f t="shared" si="65"/>
        <v>0</v>
      </c>
      <c r="Q71" s="71">
        <f t="shared" si="65"/>
        <v>0</v>
      </c>
      <c r="R71" s="71">
        <f t="shared" si="65"/>
        <v>0</v>
      </c>
      <c r="S71" s="71">
        <f t="shared" si="65"/>
        <v>0</v>
      </c>
      <c r="T71" s="71">
        <f t="shared" si="65"/>
        <v>1400</v>
      </c>
      <c r="U71" s="71">
        <f t="shared" si="65"/>
        <v>0</v>
      </c>
      <c r="V71" s="71">
        <f t="shared" si="65"/>
        <v>1400</v>
      </c>
      <c r="W71" s="360"/>
      <c r="X71" s="344">
        <f t="shared" si="55"/>
        <v>3639.9999999999995</v>
      </c>
    </row>
    <row r="72" spans="1:24" s="90" customFormat="1" ht="31.5" x14ac:dyDescent="0.2">
      <c r="A72" s="345">
        <v>1</v>
      </c>
      <c r="B72" s="54" t="s">
        <v>431</v>
      </c>
      <c r="C72" s="55"/>
      <c r="D72" s="356">
        <v>2024</v>
      </c>
      <c r="E72" s="73">
        <v>1</v>
      </c>
      <c r="F72" s="73">
        <v>5200</v>
      </c>
      <c r="G72" s="73"/>
      <c r="H72" s="31">
        <f t="shared" si="4"/>
        <v>5000</v>
      </c>
      <c r="I72" s="73"/>
      <c r="J72" s="73">
        <v>1000</v>
      </c>
      <c r="K72" s="73">
        <v>1000</v>
      </c>
      <c r="L72" s="74">
        <v>3000</v>
      </c>
      <c r="M72" s="73"/>
      <c r="N72" s="76"/>
      <c r="O72" s="76">
        <f t="shared" si="3"/>
        <v>1000</v>
      </c>
      <c r="P72" s="73"/>
      <c r="Q72" s="73"/>
      <c r="R72" s="73"/>
      <c r="S72" s="73"/>
      <c r="T72" s="73">
        <v>1000</v>
      </c>
      <c r="U72" s="73"/>
      <c r="V72" s="76">
        <f>N72+O72</f>
        <v>1000</v>
      </c>
      <c r="W72" s="361" t="s">
        <v>432</v>
      </c>
      <c r="X72" s="348">
        <f t="shared" si="55"/>
        <v>3639.9999999999995</v>
      </c>
    </row>
    <row r="73" spans="1:24" ht="31.5" x14ac:dyDescent="0.2">
      <c r="A73" s="11">
        <v>2</v>
      </c>
      <c r="B73" s="51" t="s">
        <v>435</v>
      </c>
      <c r="C73" s="22"/>
      <c r="D73" s="349" t="s">
        <v>370</v>
      </c>
      <c r="E73" s="70">
        <v>1</v>
      </c>
      <c r="F73" s="70"/>
      <c r="G73" s="70"/>
      <c r="H73" s="31"/>
      <c r="I73" s="70"/>
      <c r="J73" s="70"/>
      <c r="K73" s="70"/>
      <c r="L73" s="69"/>
      <c r="M73" s="70"/>
      <c r="N73" s="76"/>
      <c r="O73" s="76">
        <f t="shared" si="3"/>
        <v>200</v>
      </c>
      <c r="P73" s="70"/>
      <c r="Q73" s="70"/>
      <c r="R73" s="73"/>
      <c r="S73" s="70"/>
      <c r="T73" s="70">
        <v>200</v>
      </c>
      <c r="U73" s="70"/>
      <c r="V73" s="76">
        <f>N73+O73</f>
        <v>200</v>
      </c>
      <c r="W73" s="361"/>
      <c r="X73" s="344"/>
    </row>
    <row r="74" spans="1:24" ht="31.5" x14ac:dyDescent="0.2">
      <c r="A74" s="11">
        <v>3</v>
      </c>
      <c r="B74" s="483" t="s">
        <v>434</v>
      </c>
      <c r="C74" s="22"/>
      <c r="D74" s="349" t="s">
        <v>370</v>
      </c>
      <c r="E74" s="70">
        <v>1</v>
      </c>
      <c r="F74" s="70"/>
      <c r="G74" s="70"/>
      <c r="H74" s="31">
        <f t="shared" si="4"/>
        <v>3200</v>
      </c>
      <c r="I74" s="70"/>
      <c r="J74" s="70"/>
      <c r="K74" s="70">
        <v>1000</v>
      </c>
      <c r="L74" s="69">
        <v>700</v>
      </c>
      <c r="M74" s="70">
        <v>1500</v>
      </c>
      <c r="N74" s="76"/>
      <c r="O74" s="76">
        <f t="shared" si="3"/>
        <v>200</v>
      </c>
      <c r="P74" s="70"/>
      <c r="Q74" s="70"/>
      <c r="R74" s="73"/>
      <c r="S74" s="70"/>
      <c r="T74" s="70">
        <v>200</v>
      </c>
      <c r="U74" s="70">
        <v>0</v>
      </c>
      <c r="V74" s="76">
        <f>N74+O74</f>
        <v>200</v>
      </c>
      <c r="W74" s="362"/>
      <c r="X74" s="344">
        <f t="shared" si="55"/>
        <v>0</v>
      </c>
    </row>
    <row r="75" spans="1:24" ht="21.75" customHeight="1" x14ac:dyDescent="0.2">
      <c r="A75" s="11" t="s">
        <v>108</v>
      </c>
      <c r="B75" s="50" t="s">
        <v>11</v>
      </c>
      <c r="C75" s="12"/>
      <c r="D75" s="12"/>
      <c r="E75" s="71">
        <f>E76</f>
        <v>3</v>
      </c>
      <c r="F75" s="71">
        <f t="shared" ref="F75:V75" si="66">F76</f>
        <v>0</v>
      </c>
      <c r="G75" s="71">
        <f t="shared" si="66"/>
        <v>0</v>
      </c>
      <c r="H75" s="31">
        <f t="shared" si="4"/>
        <v>0</v>
      </c>
      <c r="I75" s="71">
        <f t="shared" si="66"/>
        <v>0</v>
      </c>
      <c r="J75" s="71">
        <f t="shared" si="66"/>
        <v>0</v>
      </c>
      <c r="K75" s="71">
        <f t="shared" si="66"/>
        <v>0</v>
      </c>
      <c r="L75" s="71">
        <f t="shared" si="66"/>
        <v>0</v>
      </c>
      <c r="M75" s="71">
        <f t="shared" si="66"/>
        <v>0</v>
      </c>
      <c r="N75" s="76">
        <f t="shared" si="5"/>
        <v>0</v>
      </c>
      <c r="O75" s="71">
        <f t="shared" si="66"/>
        <v>600</v>
      </c>
      <c r="P75" s="71">
        <f t="shared" si="66"/>
        <v>0</v>
      </c>
      <c r="Q75" s="71">
        <f t="shared" si="66"/>
        <v>0</v>
      </c>
      <c r="R75" s="77">
        <f t="shared" si="66"/>
        <v>0</v>
      </c>
      <c r="S75" s="71"/>
      <c r="T75" s="71">
        <f t="shared" si="66"/>
        <v>600</v>
      </c>
      <c r="U75" s="71">
        <f t="shared" si="66"/>
        <v>0</v>
      </c>
      <c r="V75" s="71">
        <f t="shared" si="66"/>
        <v>0</v>
      </c>
      <c r="W75" s="343"/>
      <c r="X75" s="344">
        <f t="shared" si="55"/>
        <v>0</v>
      </c>
    </row>
    <row r="76" spans="1:24" ht="24" customHeight="1" x14ac:dyDescent="0.2">
      <c r="A76" s="11"/>
      <c r="B76" s="75" t="s">
        <v>133</v>
      </c>
      <c r="C76" s="12"/>
      <c r="D76" s="12"/>
      <c r="E76" s="71">
        <f t="shared" ref="E76:V76" si="67">SUM(E77:E79)</f>
        <v>3</v>
      </c>
      <c r="F76" s="71">
        <f t="shared" si="67"/>
        <v>0</v>
      </c>
      <c r="G76" s="71">
        <f t="shared" si="67"/>
        <v>0</v>
      </c>
      <c r="H76" s="71">
        <f t="shared" si="67"/>
        <v>0</v>
      </c>
      <c r="I76" s="71">
        <f t="shared" si="67"/>
        <v>0</v>
      </c>
      <c r="J76" s="71">
        <f t="shared" si="67"/>
        <v>0</v>
      </c>
      <c r="K76" s="71">
        <f t="shared" si="67"/>
        <v>0</v>
      </c>
      <c r="L76" s="71">
        <f t="shared" si="67"/>
        <v>0</v>
      </c>
      <c r="M76" s="71">
        <f t="shared" si="67"/>
        <v>0</v>
      </c>
      <c r="N76" s="71">
        <f t="shared" si="67"/>
        <v>0</v>
      </c>
      <c r="O76" s="71">
        <f t="shared" si="67"/>
        <v>600</v>
      </c>
      <c r="P76" s="71">
        <f t="shared" si="67"/>
        <v>0</v>
      </c>
      <c r="Q76" s="71">
        <f t="shared" si="67"/>
        <v>0</v>
      </c>
      <c r="R76" s="71">
        <f t="shared" si="67"/>
        <v>0</v>
      </c>
      <c r="S76" s="71">
        <f t="shared" si="67"/>
        <v>0</v>
      </c>
      <c r="T76" s="71">
        <f t="shared" si="67"/>
        <v>600</v>
      </c>
      <c r="U76" s="71">
        <f t="shared" si="67"/>
        <v>0</v>
      </c>
      <c r="V76" s="71">
        <f t="shared" si="67"/>
        <v>0</v>
      </c>
      <c r="W76" s="343"/>
      <c r="X76" s="344">
        <f t="shared" si="55"/>
        <v>0</v>
      </c>
    </row>
    <row r="77" spans="1:24" ht="33.75" customHeight="1" x14ac:dyDescent="0.2">
      <c r="A77" s="92">
        <v>1</v>
      </c>
      <c r="B77" s="455" t="s">
        <v>437</v>
      </c>
      <c r="C77" s="22"/>
      <c r="D77" s="22"/>
      <c r="E77" s="70">
        <v>1</v>
      </c>
      <c r="F77" s="70"/>
      <c r="G77" s="70"/>
      <c r="H77" s="31"/>
      <c r="I77" s="70"/>
      <c r="J77" s="70"/>
      <c r="K77" s="70"/>
      <c r="L77" s="70"/>
      <c r="M77" s="70"/>
      <c r="N77" s="31"/>
      <c r="O77" s="70">
        <f t="shared" ref="O77:O79" si="68">SUM(P77:U77)</f>
        <v>200</v>
      </c>
      <c r="P77" s="70"/>
      <c r="Q77" s="70"/>
      <c r="R77" s="73"/>
      <c r="S77" s="70"/>
      <c r="T77" s="70">
        <v>200</v>
      </c>
      <c r="U77" s="70"/>
      <c r="V77" s="70"/>
      <c r="W77" s="361"/>
      <c r="X77" s="344"/>
    </row>
    <row r="78" spans="1:24" ht="33.75" customHeight="1" x14ac:dyDescent="0.2">
      <c r="A78" s="92">
        <v>2</v>
      </c>
      <c r="B78" s="455" t="s">
        <v>438</v>
      </c>
      <c r="C78" s="22"/>
      <c r="D78" s="22"/>
      <c r="E78" s="70">
        <v>1</v>
      </c>
      <c r="F78" s="70"/>
      <c r="G78" s="70"/>
      <c r="H78" s="31"/>
      <c r="I78" s="70"/>
      <c r="J78" s="70"/>
      <c r="K78" s="70"/>
      <c r="L78" s="70"/>
      <c r="M78" s="70"/>
      <c r="N78" s="31"/>
      <c r="O78" s="70">
        <f t="shared" si="68"/>
        <v>200</v>
      </c>
      <c r="P78" s="70"/>
      <c r="Q78" s="70"/>
      <c r="R78" s="73"/>
      <c r="S78" s="70"/>
      <c r="T78" s="70">
        <v>200</v>
      </c>
      <c r="U78" s="70"/>
      <c r="V78" s="70"/>
      <c r="W78" s="361"/>
      <c r="X78" s="344"/>
    </row>
    <row r="79" spans="1:24" ht="24" customHeight="1" x14ac:dyDescent="0.2">
      <c r="A79" s="92">
        <v>3</v>
      </c>
      <c r="B79" s="455" t="s">
        <v>439</v>
      </c>
      <c r="C79" s="22"/>
      <c r="D79" s="22"/>
      <c r="E79" s="70">
        <v>1</v>
      </c>
      <c r="F79" s="70"/>
      <c r="G79" s="70"/>
      <c r="H79" s="31"/>
      <c r="I79" s="70"/>
      <c r="J79" s="70"/>
      <c r="K79" s="70"/>
      <c r="L79" s="70"/>
      <c r="M79" s="70"/>
      <c r="N79" s="31"/>
      <c r="O79" s="70">
        <f t="shared" si="68"/>
        <v>200</v>
      </c>
      <c r="P79" s="70"/>
      <c r="Q79" s="70"/>
      <c r="R79" s="73"/>
      <c r="S79" s="70"/>
      <c r="T79" s="70">
        <v>200</v>
      </c>
      <c r="U79" s="70"/>
      <c r="V79" s="70"/>
      <c r="W79" s="371"/>
      <c r="X79" s="344"/>
    </row>
    <row r="80" spans="1:24" x14ac:dyDescent="0.2">
      <c r="A80" s="11" t="s">
        <v>109</v>
      </c>
      <c r="B80" s="59" t="s">
        <v>10</v>
      </c>
      <c r="C80" s="12"/>
      <c r="D80" s="12"/>
      <c r="E80" s="71">
        <f>E81+E83</f>
        <v>3</v>
      </c>
      <c r="F80" s="71">
        <f t="shared" ref="F80:V80" si="69">F81+F83</f>
        <v>17000</v>
      </c>
      <c r="G80" s="71">
        <f t="shared" si="69"/>
        <v>0</v>
      </c>
      <c r="H80" s="71">
        <f t="shared" si="69"/>
        <v>850</v>
      </c>
      <c r="I80" s="71">
        <f t="shared" si="69"/>
        <v>0</v>
      </c>
      <c r="J80" s="71">
        <f t="shared" si="69"/>
        <v>0</v>
      </c>
      <c r="K80" s="71">
        <f t="shared" si="69"/>
        <v>0</v>
      </c>
      <c r="L80" s="71">
        <f t="shared" si="69"/>
        <v>500</v>
      </c>
      <c r="M80" s="71">
        <f t="shared" si="69"/>
        <v>350</v>
      </c>
      <c r="N80" s="71">
        <f t="shared" si="69"/>
        <v>2000</v>
      </c>
      <c r="O80" s="71">
        <f t="shared" si="69"/>
        <v>6400</v>
      </c>
      <c r="P80" s="71">
        <f t="shared" si="69"/>
        <v>0</v>
      </c>
      <c r="Q80" s="71">
        <f t="shared" si="69"/>
        <v>0</v>
      </c>
      <c r="R80" s="71">
        <f t="shared" si="69"/>
        <v>0</v>
      </c>
      <c r="S80" s="71">
        <f t="shared" si="69"/>
        <v>0</v>
      </c>
      <c r="T80" s="71">
        <f t="shared" si="69"/>
        <v>1400</v>
      </c>
      <c r="U80" s="71">
        <f t="shared" si="69"/>
        <v>5000</v>
      </c>
      <c r="V80" s="71">
        <f t="shared" si="69"/>
        <v>5400</v>
      </c>
      <c r="W80" s="339"/>
      <c r="X80" s="344">
        <f t="shared" si="55"/>
        <v>11900</v>
      </c>
    </row>
    <row r="81" spans="1:26" x14ac:dyDescent="0.2">
      <c r="A81" s="11"/>
      <c r="B81" s="59" t="s">
        <v>186</v>
      </c>
      <c r="C81" s="12"/>
      <c r="D81" s="12"/>
      <c r="E81" s="71">
        <f>E82</f>
        <v>1</v>
      </c>
      <c r="F81" s="71">
        <f t="shared" ref="F81:V81" si="70">F82</f>
        <v>5500</v>
      </c>
      <c r="G81" s="71">
        <f t="shared" si="70"/>
        <v>0</v>
      </c>
      <c r="H81" s="71">
        <f t="shared" si="70"/>
        <v>0</v>
      </c>
      <c r="I81" s="71">
        <f t="shared" si="70"/>
        <v>0</v>
      </c>
      <c r="J81" s="71">
        <f t="shared" si="70"/>
        <v>0</v>
      </c>
      <c r="K81" s="71">
        <f t="shared" si="70"/>
        <v>0</v>
      </c>
      <c r="L81" s="71">
        <f t="shared" si="70"/>
        <v>0</v>
      </c>
      <c r="M81" s="71">
        <f t="shared" si="70"/>
        <v>0</v>
      </c>
      <c r="N81" s="71">
        <f t="shared" si="70"/>
        <v>2000</v>
      </c>
      <c r="O81" s="71">
        <f t="shared" si="70"/>
        <v>1000</v>
      </c>
      <c r="P81" s="71">
        <f t="shared" si="70"/>
        <v>0</v>
      </c>
      <c r="Q81" s="71">
        <f t="shared" si="70"/>
        <v>0</v>
      </c>
      <c r="R81" s="71">
        <f t="shared" si="70"/>
        <v>0</v>
      </c>
      <c r="S81" s="71">
        <f t="shared" si="70"/>
        <v>0</v>
      </c>
      <c r="T81" s="71">
        <f t="shared" si="70"/>
        <v>1000</v>
      </c>
      <c r="U81" s="71">
        <f t="shared" si="70"/>
        <v>0</v>
      </c>
      <c r="V81" s="71">
        <f t="shared" si="70"/>
        <v>0</v>
      </c>
      <c r="W81" s="339"/>
      <c r="X81" s="344"/>
    </row>
    <row r="82" spans="1:26" ht="31.5" x14ac:dyDescent="0.2">
      <c r="A82" s="11"/>
      <c r="B82" s="377" t="s">
        <v>617</v>
      </c>
      <c r="C82" s="12"/>
      <c r="D82" s="60"/>
      <c r="E82" s="31">
        <v>1</v>
      </c>
      <c r="F82" s="31">
        <v>5500</v>
      </c>
      <c r="G82" s="31"/>
      <c r="H82" s="31"/>
      <c r="I82" s="31"/>
      <c r="J82" s="31"/>
      <c r="K82" s="31"/>
      <c r="L82" s="31"/>
      <c r="M82" s="31"/>
      <c r="N82" s="31">
        <v>2000</v>
      </c>
      <c r="O82" s="31">
        <f>SUM(P82:U82)</f>
        <v>1000</v>
      </c>
      <c r="P82" s="31"/>
      <c r="Q82" s="31"/>
      <c r="R82" s="49"/>
      <c r="S82" s="31"/>
      <c r="T82" s="31">
        <v>1000</v>
      </c>
      <c r="U82" s="31"/>
      <c r="V82" s="31"/>
      <c r="W82" s="339"/>
      <c r="X82" s="344"/>
    </row>
    <row r="83" spans="1:26" s="159" customFormat="1" x14ac:dyDescent="0.25">
      <c r="A83" s="11"/>
      <c r="B83" s="59" t="s">
        <v>133</v>
      </c>
      <c r="C83" s="12"/>
      <c r="D83" s="363"/>
      <c r="E83" s="71">
        <f>SUM(E84:E85)</f>
        <v>2</v>
      </c>
      <c r="F83" s="71">
        <f t="shared" ref="F83:V83" si="71">SUM(F84:F85)</f>
        <v>11500</v>
      </c>
      <c r="G83" s="71">
        <f t="shared" si="71"/>
        <v>0</v>
      </c>
      <c r="H83" s="71">
        <f t="shared" si="71"/>
        <v>850</v>
      </c>
      <c r="I83" s="71">
        <f t="shared" si="71"/>
        <v>0</v>
      </c>
      <c r="J83" s="71">
        <f t="shared" si="71"/>
        <v>0</v>
      </c>
      <c r="K83" s="71">
        <f t="shared" si="71"/>
        <v>0</v>
      </c>
      <c r="L83" s="71">
        <f t="shared" si="71"/>
        <v>500</v>
      </c>
      <c r="M83" s="71">
        <f t="shared" si="71"/>
        <v>350</v>
      </c>
      <c r="N83" s="71">
        <f t="shared" si="71"/>
        <v>0</v>
      </c>
      <c r="O83" s="71">
        <f t="shared" si="71"/>
        <v>5400</v>
      </c>
      <c r="P83" s="71">
        <f t="shared" si="71"/>
        <v>0</v>
      </c>
      <c r="Q83" s="71">
        <f t="shared" si="71"/>
        <v>0</v>
      </c>
      <c r="R83" s="71">
        <f t="shared" si="71"/>
        <v>0</v>
      </c>
      <c r="S83" s="71">
        <f t="shared" si="71"/>
        <v>0</v>
      </c>
      <c r="T83" s="71">
        <f t="shared" si="71"/>
        <v>400</v>
      </c>
      <c r="U83" s="71">
        <f t="shared" si="71"/>
        <v>5000</v>
      </c>
      <c r="V83" s="71">
        <f t="shared" si="71"/>
        <v>5400</v>
      </c>
      <c r="W83" s="551"/>
      <c r="X83" s="344">
        <f t="shared" si="55"/>
        <v>8049.9999999999991</v>
      </c>
    </row>
    <row r="84" spans="1:26" s="90" customFormat="1" ht="66.75" customHeight="1" x14ac:dyDescent="0.2">
      <c r="A84" s="345">
        <v>1</v>
      </c>
      <c r="B84" s="377" t="s">
        <v>348</v>
      </c>
      <c r="C84" s="80"/>
      <c r="D84" s="26" t="s">
        <v>421</v>
      </c>
      <c r="E84" s="49">
        <v>1</v>
      </c>
      <c r="F84" s="49">
        <v>10000</v>
      </c>
      <c r="G84" s="49"/>
      <c r="H84" s="49">
        <f t="shared" si="4"/>
        <v>850</v>
      </c>
      <c r="I84" s="77"/>
      <c r="J84" s="49"/>
      <c r="K84" s="484"/>
      <c r="L84" s="78">
        <v>500</v>
      </c>
      <c r="M84" s="375">
        <v>350</v>
      </c>
      <c r="N84" s="47">
        <f t="shared" si="5"/>
        <v>0</v>
      </c>
      <c r="O84" s="47">
        <f t="shared" si="3"/>
        <v>5200</v>
      </c>
      <c r="P84" s="375"/>
      <c r="Q84" s="375"/>
      <c r="R84" s="375"/>
      <c r="S84" s="375"/>
      <c r="T84" s="375">
        <v>200</v>
      </c>
      <c r="U84" s="375">
        <v>5000</v>
      </c>
      <c r="V84" s="47">
        <f>N84+O84</f>
        <v>5200</v>
      </c>
      <c r="W84" s="26" t="s">
        <v>346</v>
      </c>
      <c r="X84" s="348">
        <f t="shared" si="55"/>
        <v>7000</v>
      </c>
    </row>
    <row r="85" spans="1:26" s="90" customFormat="1" ht="66.75" customHeight="1" x14ac:dyDescent="0.2">
      <c r="A85" s="345">
        <v>2</v>
      </c>
      <c r="B85" s="377" t="s">
        <v>420</v>
      </c>
      <c r="C85" s="80"/>
      <c r="D85" s="26" t="s">
        <v>370</v>
      </c>
      <c r="E85" s="49">
        <v>1</v>
      </c>
      <c r="F85" s="49">
        <v>1500</v>
      </c>
      <c r="G85" s="49"/>
      <c r="H85" s="49"/>
      <c r="I85" s="77"/>
      <c r="J85" s="49"/>
      <c r="K85" s="484"/>
      <c r="L85" s="78"/>
      <c r="M85" s="375"/>
      <c r="N85" s="47"/>
      <c r="O85" s="47">
        <f t="shared" si="3"/>
        <v>200</v>
      </c>
      <c r="P85" s="375"/>
      <c r="Q85" s="375"/>
      <c r="R85" s="375"/>
      <c r="S85" s="375"/>
      <c r="T85" s="375">
        <v>200</v>
      </c>
      <c r="U85" s="375"/>
      <c r="V85" s="47">
        <f>N85+O85</f>
        <v>200</v>
      </c>
      <c r="W85" s="26" t="s">
        <v>422</v>
      </c>
      <c r="X85" s="348"/>
    </row>
    <row r="86" spans="1:26" ht="30.75" customHeight="1" x14ac:dyDescent="0.2">
      <c r="A86" s="11" t="s">
        <v>110</v>
      </c>
      <c r="B86" s="50" t="s">
        <v>9</v>
      </c>
      <c r="C86" s="12"/>
      <c r="D86" s="12"/>
      <c r="E86" s="71">
        <f>E87+E89</f>
        <v>2</v>
      </c>
      <c r="F86" s="71">
        <f t="shared" ref="F86:V86" si="72">F87+F89</f>
        <v>6463</v>
      </c>
      <c r="G86" s="71">
        <f t="shared" si="72"/>
        <v>0</v>
      </c>
      <c r="H86" s="71">
        <f t="shared" si="72"/>
        <v>9000</v>
      </c>
      <c r="I86" s="71">
        <f t="shared" si="72"/>
        <v>0</v>
      </c>
      <c r="J86" s="71">
        <f t="shared" si="72"/>
        <v>0</v>
      </c>
      <c r="K86" s="71">
        <f t="shared" si="72"/>
        <v>0</v>
      </c>
      <c r="L86" s="71">
        <f t="shared" si="72"/>
        <v>1000</v>
      </c>
      <c r="M86" s="71">
        <f t="shared" si="72"/>
        <v>8000</v>
      </c>
      <c r="N86" s="71">
        <f t="shared" si="72"/>
        <v>2100</v>
      </c>
      <c r="O86" s="71">
        <f t="shared" si="72"/>
        <v>2500</v>
      </c>
      <c r="P86" s="71">
        <f t="shared" si="72"/>
        <v>0</v>
      </c>
      <c r="Q86" s="71">
        <f t="shared" si="72"/>
        <v>0</v>
      </c>
      <c r="R86" s="71">
        <f t="shared" si="72"/>
        <v>0</v>
      </c>
      <c r="S86" s="71">
        <f t="shared" si="72"/>
        <v>0</v>
      </c>
      <c r="T86" s="71">
        <f t="shared" si="72"/>
        <v>1000</v>
      </c>
      <c r="U86" s="71">
        <f t="shared" si="72"/>
        <v>1500</v>
      </c>
      <c r="V86" s="71">
        <f t="shared" si="72"/>
        <v>4600</v>
      </c>
      <c r="W86" s="339"/>
      <c r="X86" s="344">
        <f t="shared" si="55"/>
        <v>4524.0999999999995</v>
      </c>
    </row>
    <row r="87" spans="1:26" ht="28.5" customHeight="1" x14ac:dyDescent="0.2">
      <c r="A87" s="11"/>
      <c r="B87" s="50" t="s">
        <v>48</v>
      </c>
      <c r="C87" s="12"/>
      <c r="D87" s="12"/>
      <c r="E87" s="71">
        <f>+E88</f>
        <v>1</v>
      </c>
      <c r="F87" s="71">
        <f t="shared" ref="F87:V89" si="73">+F88</f>
        <v>3463</v>
      </c>
      <c r="G87" s="71">
        <f t="shared" si="73"/>
        <v>0</v>
      </c>
      <c r="H87" s="71">
        <f t="shared" si="73"/>
        <v>4500</v>
      </c>
      <c r="I87" s="71">
        <f t="shared" si="73"/>
        <v>0</v>
      </c>
      <c r="J87" s="71">
        <f t="shared" si="73"/>
        <v>0</v>
      </c>
      <c r="K87" s="71">
        <f t="shared" si="73"/>
        <v>0</v>
      </c>
      <c r="L87" s="71">
        <f t="shared" si="73"/>
        <v>500</v>
      </c>
      <c r="M87" s="71">
        <f t="shared" si="73"/>
        <v>4000</v>
      </c>
      <c r="N87" s="71">
        <f t="shared" si="73"/>
        <v>2100</v>
      </c>
      <c r="O87" s="71">
        <f t="shared" si="73"/>
        <v>500</v>
      </c>
      <c r="P87" s="71">
        <f t="shared" si="73"/>
        <v>0</v>
      </c>
      <c r="Q87" s="71">
        <f t="shared" si="73"/>
        <v>0</v>
      </c>
      <c r="R87" s="71">
        <f t="shared" si="73"/>
        <v>0</v>
      </c>
      <c r="S87" s="71">
        <f t="shared" si="73"/>
        <v>0</v>
      </c>
      <c r="T87" s="71">
        <f t="shared" si="73"/>
        <v>500</v>
      </c>
      <c r="U87" s="71">
        <f t="shared" si="73"/>
        <v>0</v>
      </c>
      <c r="V87" s="71">
        <f t="shared" si="73"/>
        <v>2600</v>
      </c>
      <c r="W87" s="339"/>
      <c r="X87" s="344">
        <f t="shared" ref="X87" si="74">+F87*70%</f>
        <v>2424.1</v>
      </c>
    </row>
    <row r="88" spans="1:26" ht="38.25" customHeight="1" x14ac:dyDescent="0.2">
      <c r="A88" s="11">
        <v>1</v>
      </c>
      <c r="B88" s="51" t="s">
        <v>427</v>
      </c>
      <c r="C88" s="22"/>
      <c r="D88" s="349">
        <v>2023</v>
      </c>
      <c r="E88" s="70">
        <v>1</v>
      </c>
      <c r="F88" s="70">
        <v>3463</v>
      </c>
      <c r="G88" s="70"/>
      <c r="H88" s="31">
        <f t="shared" ref="H88" si="75">SUM(I88:M88)</f>
        <v>4500</v>
      </c>
      <c r="I88" s="70"/>
      <c r="J88" s="70"/>
      <c r="K88" s="70"/>
      <c r="L88" s="70">
        <v>500</v>
      </c>
      <c r="M88" s="70">
        <v>4000</v>
      </c>
      <c r="N88" s="76">
        <f>1600+500</f>
        <v>2100</v>
      </c>
      <c r="O88" s="76">
        <f t="shared" ref="O88" si="76">SUM(P88:U88)</f>
        <v>500</v>
      </c>
      <c r="P88" s="70"/>
      <c r="Q88" s="70"/>
      <c r="R88" s="73"/>
      <c r="S88" s="70"/>
      <c r="T88" s="70">
        <v>500</v>
      </c>
      <c r="U88" s="70">
        <v>0</v>
      </c>
      <c r="V88" s="76">
        <f>N88+O88</f>
        <v>2600</v>
      </c>
      <c r="W88" s="353"/>
      <c r="X88" s="344"/>
    </row>
    <row r="89" spans="1:26" ht="28.5" customHeight="1" x14ac:dyDescent="0.2">
      <c r="A89" s="11"/>
      <c r="B89" s="50" t="s">
        <v>49</v>
      </c>
      <c r="C89" s="12"/>
      <c r="D89" s="12"/>
      <c r="E89" s="71">
        <f>+E90</f>
        <v>1</v>
      </c>
      <c r="F89" s="71">
        <f t="shared" si="73"/>
        <v>3000</v>
      </c>
      <c r="G89" s="71">
        <f t="shared" si="73"/>
        <v>0</v>
      </c>
      <c r="H89" s="71">
        <f t="shared" si="73"/>
        <v>4500</v>
      </c>
      <c r="I89" s="71">
        <f t="shared" si="73"/>
        <v>0</v>
      </c>
      <c r="J89" s="71">
        <f t="shared" si="73"/>
        <v>0</v>
      </c>
      <c r="K89" s="71">
        <f t="shared" si="73"/>
        <v>0</v>
      </c>
      <c r="L89" s="71">
        <f t="shared" si="73"/>
        <v>500</v>
      </c>
      <c r="M89" s="71">
        <f t="shared" si="73"/>
        <v>4000</v>
      </c>
      <c r="N89" s="71">
        <f t="shared" si="73"/>
        <v>0</v>
      </c>
      <c r="O89" s="71">
        <f t="shared" si="73"/>
        <v>2000</v>
      </c>
      <c r="P89" s="71">
        <f t="shared" si="73"/>
        <v>0</v>
      </c>
      <c r="Q89" s="71">
        <f t="shared" si="73"/>
        <v>0</v>
      </c>
      <c r="R89" s="71">
        <f t="shared" si="73"/>
        <v>0</v>
      </c>
      <c r="S89" s="71">
        <f t="shared" si="73"/>
        <v>0</v>
      </c>
      <c r="T89" s="71">
        <f t="shared" si="73"/>
        <v>500</v>
      </c>
      <c r="U89" s="71">
        <f t="shared" si="73"/>
        <v>1500</v>
      </c>
      <c r="V89" s="71">
        <f t="shared" si="73"/>
        <v>2000</v>
      </c>
      <c r="W89" s="339"/>
      <c r="X89" s="344">
        <f t="shared" si="55"/>
        <v>2100</v>
      </c>
    </row>
    <row r="90" spans="1:26" ht="31.5" x14ac:dyDescent="0.2">
      <c r="A90" s="11">
        <v>1</v>
      </c>
      <c r="B90" s="51" t="s">
        <v>167</v>
      </c>
      <c r="C90" s="22"/>
      <c r="D90" s="349">
        <v>2023</v>
      </c>
      <c r="E90" s="70">
        <v>1</v>
      </c>
      <c r="F90" s="70">
        <v>3000</v>
      </c>
      <c r="G90" s="70"/>
      <c r="H90" s="31">
        <f t="shared" ref="H90" si="77">SUM(I90:M90)</f>
        <v>4500</v>
      </c>
      <c r="I90" s="70"/>
      <c r="J90" s="70"/>
      <c r="K90" s="70"/>
      <c r="L90" s="70">
        <v>500</v>
      </c>
      <c r="M90" s="70">
        <v>4000</v>
      </c>
      <c r="N90" s="76">
        <f t="shared" ref="N90" si="78">G90+I90+J90+K90</f>
        <v>0</v>
      </c>
      <c r="O90" s="76">
        <f t="shared" ref="O90" si="79">SUM(P90:U90)</f>
        <v>2000</v>
      </c>
      <c r="P90" s="70"/>
      <c r="Q90" s="70"/>
      <c r="R90" s="73"/>
      <c r="S90" s="70"/>
      <c r="T90" s="70">
        <v>500</v>
      </c>
      <c r="U90" s="70">
        <v>1500</v>
      </c>
      <c r="V90" s="76">
        <f>N90+O90</f>
        <v>2000</v>
      </c>
      <c r="W90" s="353" t="s">
        <v>428</v>
      </c>
      <c r="X90" s="344"/>
    </row>
    <row r="91" spans="1:26" ht="33.75" customHeight="1" x14ac:dyDescent="0.2">
      <c r="A91" s="11" t="s">
        <v>111</v>
      </c>
      <c r="B91" s="50" t="s">
        <v>8</v>
      </c>
      <c r="C91" s="12"/>
      <c r="D91" s="12"/>
      <c r="E91" s="71">
        <f>E92+E94</f>
        <v>1</v>
      </c>
      <c r="F91" s="71">
        <f t="shared" ref="F91:V91" si="80">F92+F94</f>
        <v>14941</v>
      </c>
      <c r="G91" s="71">
        <f t="shared" si="80"/>
        <v>0</v>
      </c>
      <c r="H91" s="71">
        <f t="shared" si="80"/>
        <v>5000</v>
      </c>
      <c r="I91" s="71">
        <f t="shared" si="80"/>
        <v>0</v>
      </c>
      <c r="J91" s="71">
        <f t="shared" si="80"/>
        <v>0</v>
      </c>
      <c r="K91" s="71">
        <f t="shared" si="80"/>
        <v>4000</v>
      </c>
      <c r="L91" s="71">
        <f t="shared" si="80"/>
        <v>1000</v>
      </c>
      <c r="M91" s="71">
        <f t="shared" si="80"/>
        <v>0</v>
      </c>
      <c r="N91" s="71">
        <f t="shared" si="80"/>
        <v>4000</v>
      </c>
      <c r="O91" s="71">
        <f t="shared" si="80"/>
        <v>7493</v>
      </c>
      <c r="P91" s="71">
        <f t="shared" si="80"/>
        <v>0</v>
      </c>
      <c r="Q91" s="71">
        <f t="shared" si="80"/>
        <v>0</v>
      </c>
      <c r="R91" s="71">
        <f t="shared" si="80"/>
        <v>6493</v>
      </c>
      <c r="S91" s="71">
        <f t="shared" si="80"/>
        <v>0</v>
      </c>
      <c r="T91" s="71">
        <f t="shared" si="80"/>
        <v>1000</v>
      </c>
      <c r="U91" s="71">
        <f t="shared" si="80"/>
        <v>0</v>
      </c>
      <c r="V91" s="71">
        <f t="shared" si="80"/>
        <v>11493</v>
      </c>
      <c r="W91" s="343"/>
      <c r="X91" s="344">
        <f t="shared" ref="X91:X96" si="81">+F91*70%</f>
        <v>10458.699999999999</v>
      </c>
    </row>
    <row r="92" spans="1:26" ht="33.75" customHeight="1" x14ac:dyDescent="0.2">
      <c r="A92" s="11"/>
      <c r="B92" s="50" t="s">
        <v>48</v>
      </c>
      <c r="C92" s="12"/>
      <c r="D92" s="12"/>
      <c r="E92" s="71">
        <f>SUM(E93)</f>
        <v>1</v>
      </c>
      <c r="F92" s="71">
        <f t="shared" ref="F92:V94" si="82">SUM(F93)</f>
        <v>14941</v>
      </c>
      <c r="G92" s="71">
        <f t="shared" si="82"/>
        <v>0</v>
      </c>
      <c r="H92" s="31">
        <f t="shared" ref="H92:H93" si="83">SUM(I92:M92)</f>
        <v>5000</v>
      </c>
      <c r="I92" s="71">
        <f t="shared" si="82"/>
        <v>0</v>
      </c>
      <c r="J92" s="71">
        <f t="shared" si="82"/>
        <v>0</v>
      </c>
      <c r="K92" s="71">
        <f t="shared" si="82"/>
        <v>4000</v>
      </c>
      <c r="L92" s="71">
        <f t="shared" si="82"/>
        <v>1000</v>
      </c>
      <c r="M92" s="71">
        <f t="shared" si="82"/>
        <v>0</v>
      </c>
      <c r="N92" s="76">
        <f t="shared" ref="N92" si="84">G92+I92+J92+K92</f>
        <v>4000</v>
      </c>
      <c r="O92" s="71">
        <f t="shared" si="82"/>
        <v>7493</v>
      </c>
      <c r="P92" s="71">
        <f t="shared" si="82"/>
        <v>0</v>
      </c>
      <c r="Q92" s="71">
        <f t="shared" si="82"/>
        <v>0</v>
      </c>
      <c r="R92" s="77">
        <f t="shared" si="82"/>
        <v>6493</v>
      </c>
      <c r="S92" s="71"/>
      <c r="T92" s="71">
        <f t="shared" si="82"/>
        <v>1000</v>
      </c>
      <c r="U92" s="71">
        <f t="shared" si="82"/>
        <v>0</v>
      </c>
      <c r="V92" s="71">
        <f t="shared" si="82"/>
        <v>11493</v>
      </c>
      <c r="W92" s="343"/>
      <c r="X92" s="344">
        <f t="shared" si="81"/>
        <v>10458.699999999999</v>
      </c>
    </row>
    <row r="93" spans="1:26" ht="72" customHeight="1" x14ac:dyDescent="0.2">
      <c r="A93" s="11">
        <v>1</v>
      </c>
      <c r="B93" s="30" t="s">
        <v>424</v>
      </c>
      <c r="C93" s="60"/>
      <c r="D93" s="365" t="s">
        <v>370</v>
      </c>
      <c r="E93" s="70">
        <v>1</v>
      </c>
      <c r="F93" s="129">
        <v>14941</v>
      </c>
      <c r="G93" s="31"/>
      <c r="H93" s="31">
        <f t="shared" si="83"/>
        <v>5000</v>
      </c>
      <c r="I93" s="130"/>
      <c r="J93" s="130"/>
      <c r="K93" s="130">
        <v>4000</v>
      </c>
      <c r="L93" s="131">
        <v>1000</v>
      </c>
      <c r="M93" s="129"/>
      <c r="N93" s="76">
        <f>4000</f>
        <v>4000</v>
      </c>
      <c r="O93" s="76">
        <f t="shared" ref="O93" si="85">SUM(P93:U93)</f>
        <v>7493</v>
      </c>
      <c r="P93" s="129"/>
      <c r="Q93" s="129"/>
      <c r="R93" s="164">
        <v>6493</v>
      </c>
      <c r="S93" s="129"/>
      <c r="T93" s="129">
        <v>1000</v>
      </c>
      <c r="U93" s="129"/>
      <c r="V93" s="76">
        <f>N93+O93</f>
        <v>11493</v>
      </c>
      <c r="W93" s="364"/>
      <c r="X93" s="344">
        <f t="shared" si="81"/>
        <v>10458.699999999999</v>
      </c>
      <c r="Y93" s="344">
        <f>F93*0.7</f>
        <v>10458.699999999999</v>
      </c>
      <c r="Z93" s="344">
        <f>Y93-4000</f>
        <v>6458.6999999999989</v>
      </c>
    </row>
    <row r="94" spans="1:26" ht="33.75" customHeight="1" x14ac:dyDescent="0.2">
      <c r="A94" s="11"/>
      <c r="B94" s="50" t="s">
        <v>49</v>
      </c>
      <c r="C94" s="12"/>
      <c r="D94" s="12"/>
      <c r="E94" s="71">
        <f>SUM(E95)</f>
        <v>0</v>
      </c>
      <c r="F94" s="71">
        <f t="shared" si="82"/>
        <v>0</v>
      </c>
      <c r="G94" s="71">
        <f t="shared" si="82"/>
        <v>0</v>
      </c>
      <c r="H94" s="31">
        <f t="shared" si="4"/>
        <v>0</v>
      </c>
      <c r="I94" s="71">
        <f t="shared" si="82"/>
        <v>0</v>
      </c>
      <c r="J94" s="71">
        <f t="shared" si="82"/>
        <v>0</v>
      </c>
      <c r="K94" s="71">
        <f t="shared" si="82"/>
        <v>0</v>
      </c>
      <c r="L94" s="71">
        <f t="shared" si="82"/>
        <v>0</v>
      </c>
      <c r="M94" s="71">
        <f t="shared" si="82"/>
        <v>0</v>
      </c>
      <c r="N94" s="76">
        <f t="shared" si="5"/>
        <v>0</v>
      </c>
      <c r="O94" s="71">
        <f t="shared" si="82"/>
        <v>0</v>
      </c>
      <c r="P94" s="71">
        <f t="shared" si="82"/>
        <v>0</v>
      </c>
      <c r="Q94" s="71">
        <f t="shared" si="82"/>
        <v>0</v>
      </c>
      <c r="R94" s="77">
        <f t="shared" si="82"/>
        <v>0</v>
      </c>
      <c r="S94" s="71"/>
      <c r="T94" s="71">
        <f t="shared" si="82"/>
        <v>0</v>
      </c>
      <c r="U94" s="71">
        <f t="shared" si="82"/>
        <v>0</v>
      </c>
      <c r="V94" s="71">
        <f t="shared" si="82"/>
        <v>0</v>
      </c>
      <c r="W94" s="343"/>
      <c r="X94" s="344">
        <f t="shared" si="81"/>
        <v>0</v>
      </c>
    </row>
    <row r="95" spans="1:26" x14ac:dyDescent="0.2">
      <c r="A95" s="11"/>
      <c r="B95" s="30"/>
      <c r="C95" s="60"/>
      <c r="D95" s="365"/>
      <c r="E95" s="70"/>
      <c r="F95" s="129"/>
      <c r="G95" s="31"/>
      <c r="H95" s="31"/>
      <c r="I95" s="130"/>
      <c r="J95" s="130"/>
      <c r="K95" s="130"/>
      <c r="L95" s="131"/>
      <c r="M95" s="129"/>
      <c r="N95" s="76"/>
      <c r="O95" s="76"/>
      <c r="P95" s="129"/>
      <c r="Q95" s="129"/>
      <c r="R95" s="164"/>
      <c r="S95" s="129"/>
      <c r="T95" s="129"/>
      <c r="U95" s="129"/>
      <c r="V95" s="76"/>
      <c r="W95" s="364"/>
      <c r="X95" s="344"/>
    </row>
    <row r="96" spans="1:26" s="161" customFormat="1" ht="23.25" customHeight="1" x14ac:dyDescent="0.2">
      <c r="A96" s="11" t="s">
        <v>112</v>
      </c>
      <c r="B96" s="50" t="s">
        <v>7</v>
      </c>
      <c r="C96" s="12"/>
      <c r="D96" s="12"/>
      <c r="E96" s="71">
        <f>E97</f>
        <v>1</v>
      </c>
      <c r="F96" s="71">
        <f t="shared" ref="F96:V96" si="86">F97</f>
        <v>5000</v>
      </c>
      <c r="G96" s="71">
        <f t="shared" si="86"/>
        <v>0</v>
      </c>
      <c r="H96" s="71">
        <f t="shared" si="86"/>
        <v>0</v>
      </c>
      <c r="I96" s="71">
        <f t="shared" si="86"/>
        <v>0</v>
      </c>
      <c r="J96" s="71">
        <f t="shared" si="86"/>
        <v>0</v>
      </c>
      <c r="K96" s="71">
        <f t="shared" si="86"/>
        <v>0</v>
      </c>
      <c r="L96" s="71">
        <f t="shared" si="86"/>
        <v>0</v>
      </c>
      <c r="M96" s="71">
        <f t="shared" si="86"/>
        <v>0</v>
      </c>
      <c r="N96" s="71">
        <f t="shared" si="86"/>
        <v>0</v>
      </c>
      <c r="O96" s="71">
        <f t="shared" si="86"/>
        <v>1200</v>
      </c>
      <c r="P96" s="71">
        <f t="shared" si="86"/>
        <v>0</v>
      </c>
      <c r="Q96" s="71">
        <f t="shared" si="86"/>
        <v>0</v>
      </c>
      <c r="R96" s="71">
        <f t="shared" si="86"/>
        <v>1000</v>
      </c>
      <c r="S96" s="71">
        <f t="shared" si="86"/>
        <v>0</v>
      </c>
      <c r="T96" s="71">
        <f t="shared" si="86"/>
        <v>200</v>
      </c>
      <c r="U96" s="71">
        <f t="shared" si="86"/>
        <v>0</v>
      </c>
      <c r="V96" s="71">
        <f t="shared" si="86"/>
        <v>1200</v>
      </c>
      <c r="W96" s="339"/>
      <c r="X96" s="344">
        <f t="shared" si="81"/>
        <v>3500</v>
      </c>
    </row>
    <row r="97" spans="1:24" s="367" customFormat="1" x14ac:dyDescent="0.25">
      <c r="A97" s="11"/>
      <c r="B97" s="50" t="s">
        <v>229</v>
      </c>
      <c r="C97" s="12"/>
      <c r="D97" s="366"/>
      <c r="E97" s="71">
        <f>E98</f>
        <v>1</v>
      </c>
      <c r="F97" s="71">
        <f t="shared" ref="F97:V97" si="87">F98</f>
        <v>5000</v>
      </c>
      <c r="G97" s="71">
        <f t="shared" si="87"/>
        <v>0</v>
      </c>
      <c r="H97" s="71">
        <f t="shared" si="87"/>
        <v>0</v>
      </c>
      <c r="I97" s="71">
        <f t="shared" si="87"/>
        <v>0</v>
      </c>
      <c r="J97" s="71">
        <f t="shared" si="87"/>
        <v>0</v>
      </c>
      <c r="K97" s="71">
        <f t="shared" si="87"/>
        <v>0</v>
      </c>
      <c r="L97" s="71">
        <f t="shared" si="87"/>
        <v>0</v>
      </c>
      <c r="M97" s="71">
        <f t="shared" si="87"/>
        <v>0</v>
      </c>
      <c r="N97" s="71">
        <f t="shared" si="87"/>
        <v>0</v>
      </c>
      <c r="O97" s="71">
        <f t="shared" si="87"/>
        <v>1200</v>
      </c>
      <c r="P97" s="71">
        <f t="shared" si="87"/>
        <v>0</v>
      </c>
      <c r="Q97" s="71">
        <f t="shared" si="87"/>
        <v>0</v>
      </c>
      <c r="R97" s="71">
        <f t="shared" si="87"/>
        <v>1000</v>
      </c>
      <c r="S97" s="71">
        <f t="shared" si="87"/>
        <v>0</v>
      </c>
      <c r="T97" s="71">
        <f t="shared" si="87"/>
        <v>200</v>
      </c>
      <c r="U97" s="71">
        <f t="shared" si="87"/>
        <v>0</v>
      </c>
      <c r="V97" s="71">
        <f t="shared" si="87"/>
        <v>1200</v>
      </c>
      <c r="W97" s="551"/>
      <c r="X97" s="160"/>
    </row>
    <row r="98" spans="1:24" s="161" customFormat="1" ht="47.25" x14ac:dyDescent="0.2">
      <c r="A98" s="11"/>
      <c r="B98" s="51" t="s">
        <v>619</v>
      </c>
      <c r="C98" s="22"/>
      <c r="D98" s="365" t="s">
        <v>370</v>
      </c>
      <c r="E98" s="70">
        <v>1</v>
      </c>
      <c r="F98" s="70">
        <v>5000</v>
      </c>
      <c r="G98" s="70"/>
      <c r="H98" s="31">
        <f t="shared" si="4"/>
        <v>0</v>
      </c>
      <c r="I98" s="70"/>
      <c r="J98" s="70"/>
      <c r="K98" s="70"/>
      <c r="L98" s="69"/>
      <c r="M98" s="70"/>
      <c r="N98" s="76">
        <f t="shared" si="5"/>
        <v>0</v>
      </c>
      <c r="O98" s="76">
        <f t="shared" ref="O98" si="88">SUM(P98:U98)</f>
        <v>1200</v>
      </c>
      <c r="P98" s="70"/>
      <c r="Q98" s="70"/>
      <c r="R98" s="73">
        <v>1000</v>
      </c>
      <c r="S98" s="70"/>
      <c r="T98" s="70">
        <v>200</v>
      </c>
      <c r="U98" s="70"/>
      <c r="V98" s="76">
        <f t="shared" ref="V98" si="89">N98+O98</f>
        <v>1200</v>
      </c>
      <c r="W98" s="350" t="s">
        <v>414</v>
      </c>
      <c r="X98" s="344"/>
    </row>
    <row r="99" spans="1:24" x14ac:dyDescent="0.2">
      <c r="A99" s="11" t="s">
        <v>113</v>
      </c>
      <c r="B99" s="50" t="s">
        <v>6</v>
      </c>
      <c r="C99" s="12"/>
      <c r="D99" s="12"/>
      <c r="E99" s="71">
        <f>E100</f>
        <v>2</v>
      </c>
      <c r="F99" s="71">
        <f t="shared" ref="F99:V99" si="90">F100</f>
        <v>10000</v>
      </c>
      <c r="G99" s="71">
        <f t="shared" si="90"/>
        <v>0</v>
      </c>
      <c r="H99" s="31">
        <f t="shared" si="4"/>
        <v>2001</v>
      </c>
      <c r="I99" s="71">
        <f t="shared" si="90"/>
        <v>0</v>
      </c>
      <c r="J99" s="71">
        <f t="shared" si="90"/>
        <v>0</v>
      </c>
      <c r="K99" s="71">
        <f t="shared" si="90"/>
        <v>0</v>
      </c>
      <c r="L99" s="71">
        <f t="shared" si="90"/>
        <v>2001</v>
      </c>
      <c r="M99" s="71">
        <f t="shared" si="90"/>
        <v>0</v>
      </c>
      <c r="N99" s="76">
        <f t="shared" si="5"/>
        <v>0</v>
      </c>
      <c r="O99" s="71">
        <f t="shared" si="90"/>
        <v>3200</v>
      </c>
      <c r="P99" s="71">
        <f t="shared" si="90"/>
        <v>0</v>
      </c>
      <c r="Q99" s="71">
        <f t="shared" si="90"/>
        <v>0</v>
      </c>
      <c r="R99" s="77">
        <f t="shared" si="90"/>
        <v>1000</v>
      </c>
      <c r="S99" s="71"/>
      <c r="T99" s="71">
        <f t="shared" si="90"/>
        <v>2200</v>
      </c>
      <c r="U99" s="71">
        <f t="shared" si="90"/>
        <v>0</v>
      </c>
      <c r="V99" s="71">
        <f t="shared" si="90"/>
        <v>3200</v>
      </c>
      <c r="W99" s="339"/>
      <c r="X99" s="344">
        <f t="shared" ref="X99:X105" si="91">+F99*70%</f>
        <v>7000</v>
      </c>
    </row>
    <row r="100" spans="1:24" s="159" customFormat="1" x14ac:dyDescent="0.25">
      <c r="A100" s="11"/>
      <c r="B100" s="50" t="s">
        <v>49</v>
      </c>
      <c r="C100" s="12"/>
      <c r="D100" s="12"/>
      <c r="E100" s="71">
        <f>SUM(E101:E102)</f>
        <v>2</v>
      </c>
      <c r="F100" s="71">
        <f t="shared" ref="F100:V100" si="92">SUM(F101:F102)</f>
        <v>10000</v>
      </c>
      <c r="G100" s="71">
        <f t="shared" si="92"/>
        <v>0</v>
      </c>
      <c r="H100" s="71">
        <f t="shared" si="92"/>
        <v>2001</v>
      </c>
      <c r="I100" s="71">
        <f t="shared" si="92"/>
        <v>0</v>
      </c>
      <c r="J100" s="71">
        <f t="shared" si="92"/>
        <v>0</v>
      </c>
      <c r="K100" s="71">
        <f t="shared" si="92"/>
        <v>0</v>
      </c>
      <c r="L100" s="71">
        <f t="shared" si="92"/>
        <v>2001</v>
      </c>
      <c r="M100" s="71">
        <f t="shared" si="92"/>
        <v>0</v>
      </c>
      <c r="N100" s="71">
        <f t="shared" si="92"/>
        <v>0</v>
      </c>
      <c r="O100" s="71">
        <f t="shared" si="92"/>
        <v>3200</v>
      </c>
      <c r="P100" s="71">
        <f t="shared" si="92"/>
        <v>0</v>
      </c>
      <c r="Q100" s="71">
        <f t="shared" si="92"/>
        <v>0</v>
      </c>
      <c r="R100" s="71">
        <f t="shared" si="92"/>
        <v>1000</v>
      </c>
      <c r="S100" s="71">
        <f t="shared" si="92"/>
        <v>0</v>
      </c>
      <c r="T100" s="71">
        <f t="shared" si="92"/>
        <v>2200</v>
      </c>
      <c r="U100" s="71">
        <f t="shared" si="92"/>
        <v>0</v>
      </c>
      <c r="V100" s="71">
        <f t="shared" si="92"/>
        <v>3200</v>
      </c>
      <c r="W100" s="551"/>
      <c r="X100" s="344">
        <f t="shared" si="91"/>
        <v>7000</v>
      </c>
    </row>
    <row r="101" spans="1:24" s="90" customFormat="1" ht="47.25" x14ac:dyDescent="0.2">
      <c r="A101" s="345">
        <v>1</v>
      </c>
      <c r="B101" s="51" t="s">
        <v>413</v>
      </c>
      <c r="C101" s="55"/>
      <c r="D101" s="55" t="s">
        <v>370</v>
      </c>
      <c r="E101" s="73">
        <v>1</v>
      </c>
      <c r="F101" s="73">
        <v>5000</v>
      </c>
      <c r="G101" s="73"/>
      <c r="H101" s="31">
        <f t="shared" si="4"/>
        <v>1000</v>
      </c>
      <c r="I101" s="73"/>
      <c r="J101" s="73"/>
      <c r="K101" s="73"/>
      <c r="L101" s="74">
        <v>1000</v>
      </c>
      <c r="M101" s="73"/>
      <c r="N101" s="76">
        <f t="shared" si="5"/>
        <v>0</v>
      </c>
      <c r="O101" s="76">
        <f>SUM(P101:U101)</f>
        <v>2000</v>
      </c>
      <c r="P101" s="73"/>
      <c r="Q101" s="73"/>
      <c r="R101" s="73"/>
      <c r="S101" s="73"/>
      <c r="T101" s="73">
        <v>2000</v>
      </c>
      <c r="U101" s="73"/>
      <c r="V101" s="76">
        <f>N101+O101</f>
        <v>2000</v>
      </c>
      <c r="W101" s="353" t="s">
        <v>232</v>
      </c>
      <c r="X101" s="348">
        <f t="shared" si="91"/>
        <v>3500</v>
      </c>
    </row>
    <row r="102" spans="1:24" s="90" customFormat="1" ht="31.5" x14ac:dyDescent="0.2">
      <c r="A102" s="345">
        <v>2</v>
      </c>
      <c r="B102" s="51" t="s">
        <v>618</v>
      </c>
      <c r="C102" s="55"/>
      <c r="D102" s="55" t="s">
        <v>370</v>
      </c>
      <c r="E102" s="73">
        <v>1</v>
      </c>
      <c r="F102" s="73">
        <v>5000</v>
      </c>
      <c r="G102" s="73"/>
      <c r="H102" s="31">
        <f t="shared" ref="H102" si="93">SUM(I102:M102)</f>
        <v>1001</v>
      </c>
      <c r="I102" s="73"/>
      <c r="J102" s="73"/>
      <c r="K102" s="73"/>
      <c r="L102" s="74">
        <v>1001</v>
      </c>
      <c r="M102" s="73"/>
      <c r="N102" s="76">
        <f t="shared" ref="N102" si="94">G102+I102+J102+K102</f>
        <v>0</v>
      </c>
      <c r="O102" s="76">
        <f>SUM(P102:U102)</f>
        <v>1200</v>
      </c>
      <c r="P102" s="73"/>
      <c r="Q102" s="73"/>
      <c r="R102" s="73">
        <v>1000</v>
      </c>
      <c r="S102" s="73"/>
      <c r="T102" s="73">
        <v>200</v>
      </c>
      <c r="U102" s="73"/>
      <c r="V102" s="76">
        <f>N102+O102</f>
        <v>1200</v>
      </c>
      <c r="W102" s="353"/>
      <c r="X102" s="348"/>
    </row>
    <row r="103" spans="1:24" ht="24" customHeight="1" x14ac:dyDescent="0.2">
      <c r="A103" s="11" t="s">
        <v>114</v>
      </c>
      <c r="B103" s="50" t="s">
        <v>5</v>
      </c>
      <c r="C103" s="12"/>
      <c r="D103" s="12"/>
      <c r="E103" s="71">
        <f>E104+E107+E109</f>
        <v>4</v>
      </c>
      <c r="F103" s="71">
        <f t="shared" ref="F103:V103" si="95">F104+F107+F109</f>
        <v>22868.246999999999</v>
      </c>
      <c r="G103" s="71">
        <f t="shared" si="95"/>
        <v>0</v>
      </c>
      <c r="H103" s="71">
        <f t="shared" si="95"/>
        <v>17000</v>
      </c>
      <c r="I103" s="71">
        <f t="shared" si="95"/>
        <v>0</v>
      </c>
      <c r="J103" s="71">
        <f t="shared" si="95"/>
        <v>0</v>
      </c>
      <c r="K103" s="71">
        <f t="shared" si="95"/>
        <v>12000</v>
      </c>
      <c r="L103" s="71">
        <f t="shared" si="95"/>
        <v>2000</v>
      </c>
      <c r="M103" s="71">
        <f t="shared" si="95"/>
        <v>3000</v>
      </c>
      <c r="N103" s="71">
        <f t="shared" si="95"/>
        <v>12000</v>
      </c>
      <c r="O103" s="71">
        <f t="shared" si="95"/>
        <v>6200</v>
      </c>
      <c r="P103" s="71">
        <f t="shared" si="95"/>
        <v>0</v>
      </c>
      <c r="Q103" s="71">
        <f t="shared" si="95"/>
        <v>3000</v>
      </c>
      <c r="R103" s="71">
        <f t="shared" si="95"/>
        <v>2500</v>
      </c>
      <c r="S103" s="71">
        <f t="shared" si="95"/>
        <v>0</v>
      </c>
      <c r="T103" s="71">
        <f t="shared" si="95"/>
        <v>700</v>
      </c>
      <c r="U103" s="71">
        <f t="shared" si="95"/>
        <v>0</v>
      </c>
      <c r="V103" s="71">
        <f t="shared" si="95"/>
        <v>18200</v>
      </c>
      <c r="W103" s="339"/>
      <c r="X103" s="344">
        <f t="shared" si="91"/>
        <v>16007.772899999998</v>
      </c>
    </row>
    <row r="104" spans="1:24" ht="22.5" customHeight="1" x14ac:dyDescent="0.2">
      <c r="A104" s="11"/>
      <c r="B104" s="50" t="s">
        <v>48</v>
      </c>
      <c r="C104" s="12"/>
      <c r="D104" s="12"/>
      <c r="E104" s="71">
        <f>SUM(E105:E106)</f>
        <v>2</v>
      </c>
      <c r="F104" s="71">
        <f>SUM(F105:F106)</f>
        <v>17868.246999999999</v>
      </c>
      <c r="G104" s="71">
        <f>SUM(G105:G106)</f>
        <v>0</v>
      </c>
      <c r="H104" s="31">
        <f t="shared" ref="H104:H127" si="96">SUM(I104:M104)</f>
        <v>17000</v>
      </c>
      <c r="I104" s="71">
        <f>SUM(I105:I106)</f>
        <v>0</v>
      </c>
      <c r="J104" s="71">
        <f>SUM(J105:J106)</f>
        <v>0</v>
      </c>
      <c r="K104" s="71">
        <f>SUM(K105:K106)</f>
        <v>12000</v>
      </c>
      <c r="L104" s="71">
        <f>SUM(L105:L106)</f>
        <v>2000</v>
      </c>
      <c r="M104" s="71">
        <f>SUM(M105:M106)</f>
        <v>3000</v>
      </c>
      <c r="N104" s="76">
        <f t="shared" ref="N104:N117" si="97">G104+I104+J104+K104</f>
        <v>12000</v>
      </c>
      <c r="O104" s="71">
        <f>SUM(O105:O106)</f>
        <v>4800</v>
      </c>
      <c r="P104" s="71">
        <f>SUM(P105:P106)</f>
        <v>0</v>
      </c>
      <c r="Q104" s="71">
        <f>SUM(Q105:Q106)</f>
        <v>3000</v>
      </c>
      <c r="R104" s="77">
        <f>SUM(R105:R106)</f>
        <v>1500</v>
      </c>
      <c r="S104" s="71"/>
      <c r="T104" s="71">
        <f>SUM(T105:T106)</f>
        <v>300</v>
      </c>
      <c r="U104" s="71">
        <f>SUM(U105:U106)</f>
        <v>0</v>
      </c>
      <c r="V104" s="71">
        <f>SUM(V105:V106)</f>
        <v>16800</v>
      </c>
      <c r="W104" s="339">
        <f>SUM(W105:W106)</f>
        <v>0</v>
      </c>
      <c r="X104" s="344">
        <f t="shared" si="91"/>
        <v>12507.772899999998</v>
      </c>
    </row>
    <row r="105" spans="1:24" s="90" customFormat="1" ht="31.5" x14ac:dyDescent="0.2">
      <c r="A105" s="345">
        <v>1</v>
      </c>
      <c r="B105" s="54" t="s">
        <v>425</v>
      </c>
      <c r="C105" s="55"/>
      <c r="D105" s="55" t="s">
        <v>47</v>
      </c>
      <c r="E105" s="73">
        <v>1</v>
      </c>
      <c r="F105" s="73">
        <v>7750.4129999999996</v>
      </c>
      <c r="G105" s="73"/>
      <c r="H105" s="49">
        <f t="shared" si="96"/>
        <v>7000</v>
      </c>
      <c r="I105" s="73"/>
      <c r="J105" s="73"/>
      <c r="K105" s="73">
        <v>4000</v>
      </c>
      <c r="L105" s="74">
        <v>1000</v>
      </c>
      <c r="M105" s="73">
        <v>2000</v>
      </c>
      <c r="N105" s="47">
        <v>5500</v>
      </c>
      <c r="O105" s="47">
        <f>SUM(P105:U105)</f>
        <v>1800</v>
      </c>
      <c r="P105" s="73"/>
      <c r="Q105" s="73"/>
      <c r="R105" s="73">
        <v>1500</v>
      </c>
      <c r="S105" s="73"/>
      <c r="T105" s="73">
        <v>300</v>
      </c>
      <c r="U105" s="73">
        <v>0</v>
      </c>
      <c r="V105" s="47">
        <f>N105+O105</f>
        <v>7300</v>
      </c>
      <c r="W105" s="369"/>
      <c r="X105" s="348">
        <f t="shared" si="91"/>
        <v>5425.2890999999991</v>
      </c>
    </row>
    <row r="106" spans="1:24" ht="31.5" x14ac:dyDescent="0.2">
      <c r="A106" s="11">
        <v>2</v>
      </c>
      <c r="B106" s="51" t="s">
        <v>171</v>
      </c>
      <c r="C106" s="22"/>
      <c r="D106" s="22" t="s">
        <v>47</v>
      </c>
      <c r="E106" s="70">
        <v>1</v>
      </c>
      <c r="F106" s="70">
        <v>10117.834000000001</v>
      </c>
      <c r="G106" s="70"/>
      <c r="H106" s="31">
        <f t="shared" si="96"/>
        <v>10000</v>
      </c>
      <c r="I106" s="70"/>
      <c r="J106" s="70"/>
      <c r="K106" s="70">
        <f>5000+3000</f>
        <v>8000</v>
      </c>
      <c r="L106" s="69">
        <v>1000</v>
      </c>
      <c r="M106" s="70">
        <v>1000</v>
      </c>
      <c r="N106" s="76">
        <v>6500</v>
      </c>
      <c r="O106" s="76">
        <f>SUM(P106:U106)</f>
        <v>3000</v>
      </c>
      <c r="P106" s="70"/>
      <c r="Q106" s="70">
        <v>3000</v>
      </c>
      <c r="R106" s="73">
        <v>0</v>
      </c>
      <c r="S106" s="70"/>
      <c r="T106" s="70"/>
      <c r="U106" s="70"/>
      <c r="V106" s="76">
        <f>N106+O106</f>
        <v>9500</v>
      </c>
      <c r="W106" s="350" t="s">
        <v>172</v>
      </c>
      <c r="X106" s="344">
        <f>F106*0.97</f>
        <v>9814.2989799999996</v>
      </c>
    </row>
    <row r="107" spans="1:24" ht="18.75" customHeight="1" x14ac:dyDescent="0.2">
      <c r="A107" s="11"/>
      <c r="B107" s="50" t="s">
        <v>49</v>
      </c>
      <c r="C107" s="12"/>
      <c r="D107" s="12"/>
      <c r="E107" s="71">
        <f>+E108</f>
        <v>1</v>
      </c>
      <c r="F107" s="71">
        <f t="shared" ref="F107:V109" si="98">+F108</f>
        <v>5000</v>
      </c>
      <c r="G107" s="71">
        <f t="shared" si="98"/>
        <v>0</v>
      </c>
      <c r="H107" s="71">
        <f t="shared" si="98"/>
        <v>0</v>
      </c>
      <c r="I107" s="71">
        <f t="shared" si="98"/>
        <v>0</v>
      </c>
      <c r="J107" s="71">
        <f t="shared" si="98"/>
        <v>0</v>
      </c>
      <c r="K107" s="71">
        <f t="shared" si="98"/>
        <v>0</v>
      </c>
      <c r="L107" s="71">
        <f t="shared" si="98"/>
        <v>0</v>
      </c>
      <c r="M107" s="71">
        <f t="shared" si="98"/>
        <v>0</v>
      </c>
      <c r="N107" s="71">
        <f t="shared" si="98"/>
        <v>0</v>
      </c>
      <c r="O107" s="71">
        <f t="shared" si="98"/>
        <v>1200</v>
      </c>
      <c r="P107" s="71">
        <f t="shared" si="98"/>
        <v>0</v>
      </c>
      <c r="Q107" s="71">
        <f t="shared" si="98"/>
        <v>0</v>
      </c>
      <c r="R107" s="71">
        <f t="shared" si="98"/>
        <v>1000</v>
      </c>
      <c r="S107" s="71">
        <f t="shared" si="98"/>
        <v>0</v>
      </c>
      <c r="T107" s="71">
        <f t="shared" si="98"/>
        <v>200</v>
      </c>
      <c r="U107" s="71">
        <f t="shared" si="98"/>
        <v>0</v>
      </c>
      <c r="V107" s="71">
        <f t="shared" si="98"/>
        <v>1200</v>
      </c>
      <c r="W107" s="339">
        <f>SUM(W108:W109)</f>
        <v>0</v>
      </c>
      <c r="X107" s="344">
        <f t="shared" ref="X107" si="99">+F107*70%</f>
        <v>3500</v>
      </c>
    </row>
    <row r="108" spans="1:24" ht="54" customHeight="1" x14ac:dyDescent="0.2">
      <c r="A108" s="11"/>
      <c r="B108" s="51" t="s">
        <v>620</v>
      </c>
      <c r="C108" s="22"/>
      <c r="D108" s="22" t="s">
        <v>370</v>
      </c>
      <c r="E108" s="70">
        <v>1</v>
      </c>
      <c r="F108" s="70">
        <v>5000</v>
      </c>
      <c r="G108" s="70"/>
      <c r="H108" s="31"/>
      <c r="I108" s="70"/>
      <c r="J108" s="70"/>
      <c r="K108" s="70"/>
      <c r="L108" s="69"/>
      <c r="M108" s="70"/>
      <c r="N108" s="76"/>
      <c r="O108" s="76">
        <f>SUM(P108:U108)</f>
        <v>1200</v>
      </c>
      <c r="P108" s="70"/>
      <c r="Q108" s="70"/>
      <c r="R108" s="73">
        <v>1000</v>
      </c>
      <c r="S108" s="70"/>
      <c r="T108" s="70">
        <v>200</v>
      </c>
      <c r="U108" s="70"/>
      <c r="V108" s="71">
        <f>N108+O108</f>
        <v>1200</v>
      </c>
      <c r="W108" s="350"/>
      <c r="X108" s="344"/>
    </row>
    <row r="109" spans="1:24" ht="18.75" customHeight="1" x14ac:dyDescent="0.2">
      <c r="A109" s="11"/>
      <c r="B109" s="50" t="s">
        <v>133</v>
      </c>
      <c r="C109" s="12"/>
      <c r="D109" s="12"/>
      <c r="E109" s="71">
        <f>+E110</f>
        <v>1</v>
      </c>
      <c r="F109" s="71">
        <f t="shared" si="98"/>
        <v>0</v>
      </c>
      <c r="G109" s="71">
        <f t="shared" si="98"/>
        <v>0</v>
      </c>
      <c r="H109" s="71">
        <f t="shared" si="98"/>
        <v>0</v>
      </c>
      <c r="I109" s="71">
        <f t="shared" si="98"/>
        <v>0</v>
      </c>
      <c r="J109" s="71">
        <f t="shared" si="98"/>
        <v>0</v>
      </c>
      <c r="K109" s="71">
        <f t="shared" si="98"/>
        <v>0</v>
      </c>
      <c r="L109" s="71">
        <f t="shared" si="98"/>
        <v>0</v>
      </c>
      <c r="M109" s="71">
        <f t="shared" si="98"/>
        <v>0</v>
      </c>
      <c r="N109" s="71">
        <f t="shared" si="98"/>
        <v>0</v>
      </c>
      <c r="O109" s="71">
        <f t="shared" si="98"/>
        <v>200</v>
      </c>
      <c r="P109" s="71">
        <f t="shared" si="98"/>
        <v>0</v>
      </c>
      <c r="Q109" s="71">
        <f t="shared" si="98"/>
        <v>0</v>
      </c>
      <c r="R109" s="71">
        <f t="shared" si="98"/>
        <v>0</v>
      </c>
      <c r="S109" s="71">
        <f t="shared" si="98"/>
        <v>0</v>
      </c>
      <c r="T109" s="71">
        <f t="shared" si="98"/>
        <v>200</v>
      </c>
      <c r="U109" s="71">
        <f t="shared" si="98"/>
        <v>0</v>
      </c>
      <c r="V109" s="71">
        <f t="shared" si="98"/>
        <v>200</v>
      </c>
      <c r="W109" s="339">
        <f>SUM(W110:W111)</f>
        <v>0</v>
      </c>
      <c r="X109" s="344">
        <f t="shared" ref="X109" si="100">+F109*70%</f>
        <v>0</v>
      </c>
    </row>
    <row r="110" spans="1:24" ht="54" customHeight="1" x14ac:dyDescent="0.2">
      <c r="A110" s="11"/>
      <c r="B110" s="51" t="s">
        <v>426</v>
      </c>
      <c r="C110" s="22"/>
      <c r="D110" s="22" t="s">
        <v>370</v>
      </c>
      <c r="E110" s="70">
        <v>1</v>
      </c>
      <c r="F110" s="70"/>
      <c r="G110" s="70"/>
      <c r="H110" s="31"/>
      <c r="I110" s="70"/>
      <c r="J110" s="70"/>
      <c r="K110" s="70"/>
      <c r="L110" s="69"/>
      <c r="M110" s="70"/>
      <c r="N110" s="76"/>
      <c r="O110" s="76">
        <f>SUM(P110:U110)</f>
        <v>200</v>
      </c>
      <c r="P110" s="70"/>
      <c r="Q110" s="70"/>
      <c r="R110" s="73"/>
      <c r="S110" s="70"/>
      <c r="T110" s="70">
        <v>200</v>
      </c>
      <c r="U110" s="70"/>
      <c r="V110" s="71">
        <f>N110+O110</f>
        <v>200</v>
      </c>
      <c r="W110" s="350"/>
      <c r="X110" s="344"/>
    </row>
    <row r="111" spans="1:24" ht="24" customHeight="1" x14ac:dyDescent="0.2">
      <c r="A111" s="11" t="s">
        <v>115</v>
      </c>
      <c r="B111" s="50" t="s">
        <v>2</v>
      </c>
      <c r="C111" s="12"/>
      <c r="D111" s="12"/>
      <c r="E111" s="71">
        <f>E112+E114</f>
        <v>2</v>
      </c>
      <c r="F111" s="71">
        <f t="shared" ref="F111:V111" si="101">F112+F114</f>
        <v>12000</v>
      </c>
      <c r="G111" s="71">
        <f t="shared" si="101"/>
        <v>0</v>
      </c>
      <c r="H111" s="71">
        <f t="shared" si="101"/>
        <v>32000</v>
      </c>
      <c r="I111" s="71">
        <f t="shared" si="101"/>
        <v>0</v>
      </c>
      <c r="J111" s="71">
        <f t="shared" si="101"/>
        <v>0</v>
      </c>
      <c r="K111" s="71">
        <f t="shared" si="101"/>
        <v>8000</v>
      </c>
      <c r="L111" s="71">
        <f t="shared" si="101"/>
        <v>1000</v>
      </c>
      <c r="M111" s="71">
        <f t="shared" si="101"/>
        <v>23000</v>
      </c>
      <c r="N111" s="71">
        <f t="shared" si="101"/>
        <v>8000</v>
      </c>
      <c r="O111" s="71">
        <f t="shared" si="101"/>
        <v>6400</v>
      </c>
      <c r="P111" s="71">
        <f t="shared" si="101"/>
        <v>0</v>
      </c>
      <c r="Q111" s="71">
        <f t="shared" si="101"/>
        <v>0</v>
      </c>
      <c r="R111" s="71">
        <f t="shared" si="101"/>
        <v>3200</v>
      </c>
      <c r="S111" s="71">
        <f t="shared" si="101"/>
        <v>0</v>
      </c>
      <c r="T111" s="71">
        <f t="shared" si="101"/>
        <v>1200</v>
      </c>
      <c r="U111" s="71">
        <f t="shared" si="101"/>
        <v>2000</v>
      </c>
      <c r="V111" s="71">
        <f t="shared" si="101"/>
        <v>10400</v>
      </c>
      <c r="W111" s="551"/>
      <c r="X111" s="344">
        <f>+F111*70%</f>
        <v>8400</v>
      </c>
    </row>
    <row r="112" spans="1:24" s="159" customFormat="1" ht="21" customHeight="1" x14ac:dyDescent="0.25">
      <c r="A112" s="11"/>
      <c r="B112" s="50" t="s">
        <v>48</v>
      </c>
      <c r="C112" s="12"/>
      <c r="D112" s="12"/>
      <c r="E112" s="71">
        <f>SUM(E113)</f>
        <v>1</v>
      </c>
      <c r="F112" s="71">
        <f t="shared" ref="F112:V114" si="102">SUM(F113)</f>
        <v>12000</v>
      </c>
      <c r="G112" s="71">
        <f t="shared" si="102"/>
        <v>0</v>
      </c>
      <c r="H112" s="31">
        <f t="shared" ref="H112:H113" si="103">SUM(I112:M112)</f>
        <v>16000</v>
      </c>
      <c r="I112" s="71">
        <f t="shared" si="102"/>
        <v>0</v>
      </c>
      <c r="J112" s="71">
        <f t="shared" si="102"/>
        <v>0</v>
      </c>
      <c r="K112" s="71">
        <f t="shared" si="102"/>
        <v>4000</v>
      </c>
      <c r="L112" s="71">
        <f t="shared" si="102"/>
        <v>500</v>
      </c>
      <c r="M112" s="71">
        <f t="shared" si="102"/>
        <v>11500</v>
      </c>
      <c r="N112" s="76">
        <f t="shared" ref="N112:N113" si="104">G112+I112+J112+K112</f>
        <v>4000</v>
      </c>
      <c r="O112" s="71">
        <f t="shared" si="102"/>
        <v>6200</v>
      </c>
      <c r="P112" s="71">
        <f t="shared" si="102"/>
        <v>0</v>
      </c>
      <c r="Q112" s="71">
        <f t="shared" si="102"/>
        <v>0</v>
      </c>
      <c r="R112" s="77">
        <f t="shared" si="102"/>
        <v>3200</v>
      </c>
      <c r="S112" s="71"/>
      <c r="T112" s="71">
        <f t="shared" si="102"/>
        <v>1000</v>
      </c>
      <c r="U112" s="71">
        <f t="shared" si="102"/>
        <v>2000</v>
      </c>
      <c r="V112" s="71">
        <f t="shared" si="102"/>
        <v>10200</v>
      </c>
      <c r="W112" s="551"/>
      <c r="X112" s="344">
        <f>+F112*70%</f>
        <v>8400</v>
      </c>
    </row>
    <row r="113" spans="1:25" s="370" customFormat="1" ht="31.5" x14ac:dyDescent="0.2">
      <c r="A113" s="345">
        <v>1</v>
      </c>
      <c r="B113" s="166" t="s">
        <v>132</v>
      </c>
      <c r="C113" s="55"/>
      <c r="D113" s="352" t="s">
        <v>47</v>
      </c>
      <c r="E113" s="73">
        <v>1</v>
      </c>
      <c r="F113" s="73">
        <v>12000</v>
      </c>
      <c r="G113" s="73"/>
      <c r="H113" s="31">
        <f t="shared" si="103"/>
        <v>16000</v>
      </c>
      <c r="I113" s="73"/>
      <c r="J113" s="73"/>
      <c r="K113" s="73">
        <v>4000</v>
      </c>
      <c r="L113" s="73">
        <v>500</v>
      </c>
      <c r="M113" s="73">
        <v>11500</v>
      </c>
      <c r="N113" s="76">
        <f t="shared" si="104"/>
        <v>4000</v>
      </c>
      <c r="O113" s="76">
        <f>SUM(P113:U113)</f>
        <v>6200</v>
      </c>
      <c r="P113" s="73"/>
      <c r="Q113" s="73"/>
      <c r="R113" s="73">
        <v>3200</v>
      </c>
      <c r="S113" s="73"/>
      <c r="T113" s="73">
        <v>1000</v>
      </c>
      <c r="U113" s="73">
        <v>2000</v>
      </c>
      <c r="V113" s="76">
        <f>N113+O113</f>
        <v>10200</v>
      </c>
      <c r="W113" s="369"/>
      <c r="X113" s="348"/>
    </row>
    <row r="114" spans="1:25" s="159" customFormat="1" ht="21" customHeight="1" x14ac:dyDescent="0.25">
      <c r="A114" s="11"/>
      <c r="B114" s="50" t="s">
        <v>133</v>
      </c>
      <c r="C114" s="12"/>
      <c r="D114" s="12"/>
      <c r="E114" s="71">
        <f>SUM(E115)</f>
        <v>1</v>
      </c>
      <c r="F114" s="71">
        <f t="shared" si="102"/>
        <v>0</v>
      </c>
      <c r="G114" s="71">
        <f t="shared" si="102"/>
        <v>0</v>
      </c>
      <c r="H114" s="31">
        <f t="shared" si="96"/>
        <v>16000</v>
      </c>
      <c r="I114" s="71">
        <f t="shared" si="102"/>
        <v>0</v>
      </c>
      <c r="J114" s="71">
        <f t="shared" si="102"/>
        <v>0</v>
      </c>
      <c r="K114" s="71">
        <f t="shared" si="102"/>
        <v>4000</v>
      </c>
      <c r="L114" s="71">
        <f t="shared" si="102"/>
        <v>500</v>
      </c>
      <c r="M114" s="71">
        <f t="shared" si="102"/>
        <v>11500</v>
      </c>
      <c r="N114" s="76">
        <f t="shared" si="97"/>
        <v>4000</v>
      </c>
      <c r="O114" s="71">
        <f t="shared" si="102"/>
        <v>200</v>
      </c>
      <c r="P114" s="71">
        <f t="shared" si="102"/>
        <v>0</v>
      </c>
      <c r="Q114" s="71">
        <f t="shared" si="102"/>
        <v>0</v>
      </c>
      <c r="R114" s="77">
        <f t="shared" si="102"/>
        <v>0</v>
      </c>
      <c r="S114" s="71"/>
      <c r="T114" s="71">
        <f t="shared" si="102"/>
        <v>200</v>
      </c>
      <c r="U114" s="71">
        <f t="shared" si="102"/>
        <v>0</v>
      </c>
      <c r="V114" s="71">
        <f t="shared" si="102"/>
        <v>200</v>
      </c>
      <c r="W114" s="551"/>
      <c r="X114" s="344">
        <f>+F114*70%</f>
        <v>0</v>
      </c>
    </row>
    <row r="115" spans="1:25" s="370" customFormat="1" ht="47.25" x14ac:dyDescent="0.2">
      <c r="A115" s="345">
        <v>1</v>
      </c>
      <c r="B115" s="166" t="s">
        <v>415</v>
      </c>
      <c r="C115" s="55"/>
      <c r="D115" s="352" t="s">
        <v>370</v>
      </c>
      <c r="E115" s="73">
        <v>1</v>
      </c>
      <c r="F115" s="73">
        <v>0</v>
      </c>
      <c r="G115" s="73"/>
      <c r="H115" s="31">
        <f t="shared" si="96"/>
        <v>16000</v>
      </c>
      <c r="I115" s="73"/>
      <c r="J115" s="73"/>
      <c r="K115" s="73">
        <v>4000</v>
      </c>
      <c r="L115" s="73">
        <v>500</v>
      </c>
      <c r="M115" s="73">
        <v>11500</v>
      </c>
      <c r="N115" s="76">
        <v>0</v>
      </c>
      <c r="O115" s="76">
        <f>SUM(P115:U115)</f>
        <v>200</v>
      </c>
      <c r="P115" s="73"/>
      <c r="Q115" s="73"/>
      <c r="R115" s="73">
        <v>0</v>
      </c>
      <c r="S115" s="73"/>
      <c r="T115" s="73">
        <v>200</v>
      </c>
      <c r="U115" s="73">
        <v>0</v>
      </c>
      <c r="V115" s="76">
        <f>N115+O115</f>
        <v>200</v>
      </c>
      <c r="W115" s="350" t="s">
        <v>414</v>
      </c>
      <c r="X115" s="348"/>
    </row>
    <row r="116" spans="1:25" s="167" customFormat="1" ht="22.5" customHeight="1" x14ac:dyDescent="0.25">
      <c r="A116" s="11" t="s">
        <v>116</v>
      </c>
      <c r="B116" s="59" t="s">
        <v>0</v>
      </c>
      <c r="C116" s="12"/>
      <c r="D116" s="12"/>
      <c r="E116" s="71">
        <f>E117</f>
        <v>1</v>
      </c>
      <c r="F116" s="71">
        <f t="shared" ref="F116:V116" si="105">F117</f>
        <v>5000</v>
      </c>
      <c r="G116" s="71">
        <f t="shared" si="105"/>
        <v>0</v>
      </c>
      <c r="H116" s="71">
        <f t="shared" si="105"/>
        <v>0</v>
      </c>
      <c r="I116" s="71">
        <f t="shared" si="105"/>
        <v>0</v>
      </c>
      <c r="J116" s="71">
        <f t="shared" si="105"/>
        <v>0</v>
      </c>
      <c r="K116" s="71">
        <f t="shared" si="105"/>
        <v>0</v>
      </c>
      <c r="L116" s="71">
        <f t="shared" si="105"/>
        <v>0</v>
      </c>
      <c r="M116" s="71">
        <f t="shared" si="105"/>
        <v>0</v>
      </c>
      <c r="N116" s="71">
        <f t="shared" si="105"/>
        <v>0</v>
      </c>
      <c r="O116" s="71">
        <f t="shared" si="105"/>
        <v>1200</v>
      </c>
      <c r="P116" s="71">
        <f t="shared" si="105"/>
        <v>0</v>
      </c>
      <c r="Q116" s="71">
        <f t="shared" si="105"/>
        <v>0</v>
      </c>
      <c r="R116" s="71">
        <f t="shared" si="105"/>
        <v>1000</v>
      </c>
      <c r="S116" s="71">
        <f t="shared" si="105"/>
        <v>0</v>
      </c>
      <c r="T116" s="71">
        <f t="shared" si="105"/>
        <v>200</v>
      </c>
      <c r="U116" s="71">
        <f t="shared" si="105"/>
        <v>0</v>
      </c>
      <c r="V116" s="71">
        <f t="shared" si="105"/>
        <v>0</v>
      </c>
      <c r="W116" s="339"/>
      <c r="X116" s="344">
        <f>+F116*70%</f>
        <v>3500</v>
      </c>
    </row>
    <row r="117" spans="1:25" s="167" customFormat="1" x14ac:dyDescent="0.25">
      <c r="A117" s="11"/>
      <c r="B117" s="59" t="s">
        <v>49</v>
      </c>
      <c r="C117" s="12"/>
      <c r="D117" s="12"/>
      <c r="E117" s="71">
        <f>SUM(E118)</f>
        <v>1</v>
      </c>
      <c r="F117" s="71">
        <f t="shared" ref="F117:V117" si="106">SUM(F118)</f>
        <v>5000</v>
      </c>
      <c r="G117" s="71">
        <f t="shared" si="106"/>
        <v>0</v>
      </c>
      <c r="H117" s="31">
        <f t="shared" si="96"/>
        <v>0</v>
      </c>
      <c r="I117" s="71">
        <f t="shared" si="106"/>
        <v>0</v>
      </c>
      <c r="J117" s="71">
        <f t="shared" si="106"/>
        <v>0</v>
      </c>
      <c r="K117" s="71">
        <f t="shared" si="106"/>
        <v>0</v>
      </c>
      <c r="L117" s="71">
        <f t="shared" si="106"/>
        <v>0</v>
      </c>
      <c r="M117" s="71">
        <f t="shared" si="106"/>
        <v>0</v>
      </c>
      <c r="N117" s="76">
        <f t="shared" si="97"/>
        <v>0</v>
      </c>
      <c r="O117" s="71">
        <f t="shared" si="106"/>
        <v>1200</v>
      </c>
      <c r="P117" s="71">
        <f t="shared" si="106"/>
        <v>0</v>
      </c>
      <c r="Q117" s="71">
        <f t="shared" si="106"/>
        <v>0</v>
      </c>
      <c r="R117" s="77">
        <f t="shared" si="106"/>
        <v>1000</v>
      </c>
      <c r="S117" s="71"/>
      <c r="T117" s="71">
        <f t="shared" si="106"/>
        <v>200</v>
      </c>
      <c r="U117" s="71">
        <f t="shared" si="106"/>
        <v>0</v>
      </c>
      <c r="V117" s="71">
        <f t="shared" si="106"/>
        <v>0</v>
      </c>
      <c r="W117" s="339"/>
      <c r="X117" s="344">
        <f>+F117*70%</f>
        <v>3500</v>
      </c>
    </row>
    <row r="118" spans="1:25" ht="31.5" x14ac:dyDescent="0.2">
      <c r="A118" s="11"/>
      <c r="B118" s="411" t="s">
        <v>621</v>
      </c>
      <c r="C118" s="22"/>
      <c r="D118" s="22" t="s">
        <v>370</v>
      </c>
      <c r="E118" s="70">
        <v>1</v>
      </c>
      <c r="F118" s="70">
        <v>5000</v>
      </c>
      <c r="G118" s="70"/>
      <c r="H118" s="31"/>
      <c r="I118" s="70"/>
      <c r="J118" s="70"/>
      <c r="K118" s="70"/>
      <c r="L118" s="70"/>
      <c r="M118" s="70"/>
      <c r="N118" s="76"/>
      <c r="O118" s="76">
        <f>SUM(P118:U118)</f>
        <v>1200</v>
      </c>
      <c r="P118" s="70"/>
      <c r="Q118" s="70"/>
      <c r="R118" s="73">
        <v>1000</v>
      </c>
      <c r="S118" s="70"/>
      <c r="T118" s="70">
        <v>200</v>
      </c>
      <c r="U118" s="70"/>
      <c r="V118" s="76"/>
      <c r="W118" s="353"/>
    </row>
    <row r="119" spans="1:25" ht="23.25" customHeight="1" x14ac:dyDescent="0.2">
      <c r="A119" s="11" t="s">
        <v>118</v>
      </c>
      <c r="B119" s="50" t="s">
        <v>4</v>
      </c>
      <c r="C119" s="12"/>
      <c r="D119" s="12"/>
      <c r="E119" s="71">
        <f>E120+E125</f>
        <v>6</v>
      </c>
      <c r="F119" s="71">
        <f t="shared" ref="F119:V119" si="107">F120+F125</f>
        <v>76000</v>
      </c>
      <c r="G119" s="71">
        <f t="shared" si="107"/>
        <v>0</v>
      </c>
      <c r="H119" s="71">
        <f t="shared" si="107"/>
        <v>29000</v>
      </c>
      <c r="I119" s="71">
        <f t="shared" si="107"/>
        <v>0</v>
      </c>
      <c r="J119" s="71">
        <f t="shared" si="107"/>
        <v>0</v>
      </c>
      <c r="K119" s="71">
        <f t="shared" si="107"/>
        <v>0</v>
      </c>
      <c r="L119" s="71">
        <f t="shared" si="107"/>
        <v>29000</v>
      </c>
      <c r="M119" s="71">
        <f t="shared" si="107"/>
        <v>0</v>
      </c>
      <c r="N119" s="71">
        <f t="shared" si="107"/>
        <v>22000</v>
      </c>
      <c r="O119" s="71">
        <f t="shared" si="107"/>
        <v>24500</v>
      </c>
      <c r="P119" s="71">
        <f t="shared" si="107"/>
        <v>0</v>
      </c>
      <c r="Q119" s="71">
        <f t="shared" si="107"/>
        <v>0</v>
      </c>
      <c r="R119" s="71">
        <f t="shared" si="107"/>
        <v>0</v>
      </c>
      <c r="S119" s="71">
        <f t="shared" si="107"/>
        <v>0</v>
      </c>
      <c r="T119" s="71">
        <f t="shared" si="107"/>
        <v>24500</v>
      </c>
      <c r="U119" s="71">
        <f t="shared" si="107"/>
        <v>0</v>
      </c>
      <c r="V119" s="71">
        <f t="shared" si="107"/>
        <v>46500</v>
      </c>
      <c r="W119" s="343"/>
      <c r="X119" s="344">
        <f t="shared" ref="X119:X129" si="108">+F119*70%</f>
        <v>53200</v>
      </c>
    </row>
    <row r="120" spans="1:25" x14ac:dyDescent="0.2">
      <c r="A120" s="11"/>
      <c r="B120" s="50" t="s">
        <v>48</v>
      </c>
      <c r="C120" s="12"/>
      <c r="D120" s="12"/>
      <c r="E120" s="71">
        <f>SUM(E121:E124)</f>
        <v>4</v>
      </c>
      <c r="F120" s="71">
        <f t="shared" ref="F120:V120" si="109">SUM(F121:F124)</f>
        <v>67500</v>
      </c>
      <c r="G120" s="71">
        <f t="shared" si="109"/>
        <v>0</v>
      </c>
      <c r="H120" s="71">
        <f t="shared" si="109"/>
        <v>14500</v>
      </c>
      <c r="I120" s="71">
        <f t="shared" si="109"/>
        <v>0</v>
      </c>
      <c r="J120" s="71">
        <f t="shared" si="109"/>
        <v>0</v>
      </c>
      <c r="K120" s="71">
        <f t="shared" si="109"/>
        <v>0</v>
      </c>
      <c r="L120" s="71">
        <f t="shared" si="109"/>
        <v>14500</v>
      </c>
      <c r="M120" s="71">
        <f t="shared" si="109"/>
        <v>0</v>
      </c>
      <c r="N120" s="71">
        <f t="shared" si="109"/>
        <v>22000</v>
      </c>
      <c r="O120" s="71">
        <f t="shared" si="109"/>
        <v>21000</v>
      </c>
      <c r="P120" s="71">
        <f t="shared" si="109"/>
        <v>0</v>
      </c>
      <c r="Q120" s="71">
        <f t="shared" si="109"/>
        <v>0</v>
      </c>
      <c r="R120" s="71">
        <f t="shared" si="109"/>
        <v>0</v>
      </c>
      <c r="S120" s="71">
        <f t="shared" si="109"/>
        <v>0</v>
      </c>
      <c r="T120" s="71">
        <f t="shared" si="109"/>
        <v>21000</v>
      </c>
      <c r="U120" s="71">
        <f t="shared" si="109"/>
        <v>0</v>
      </c>
      <c r="V120" s="71">
        <f t="shared" si="109"/>
        <v>43000</v>
      </c>
      <c r="W120" s="343"/>
      <c r="X120" s="344">
        <f t="shared" ref="X120:X124" si="110">+F120*70%</f>
        <v>47250</v>
      </c>
    </row>
    <row r="121" spans="1:25" ht="31.5" customHeight="1" x14ac:dyDescent="0.2">
      <c r="A121" s="11">
        <v>1</v>
      </c>
      <c r="B121" s="51" t="s">
        <v>417</v>
      </c>
      <c r="C121" s="22"/>
      <c r="D121" s="349" t="s">
        <v>85</v>
      </c>
      <c r="E121" s="70">
        <v>1</v>
      </c>
      <c r="F121" s="70">
        <v>7500</v>
      </c>
      <c r="G121" s="70"/>
      <c r="H121" s="31">
        <f t="shared" ref="H121:H124" si="111">SUM(I121:M121)</f>
        <v>8000</v>
      </c>
      <c r="I121" s="70"/>
      <c r="J121" s="70"/>
      <c r="K121" s="70"/>
      <c r="L121" s="69">
        <v>8000</v>
      </c>
      <c r="M121" s="70"/>
      <c r="N121" s="76">
        <v>2000</v>
      </c>
      <c r="O121" s="76">
        <f>SUM(P121:U121)</f>
        <v>3000</v>
      </c>
      <c r="P121" s="70"/>
      <c r="Q121" s="70"/>
      <c r="R121" s="73"/>
      <c r="S121" s="70"/>
      <c r="T121" s="70">
        <v>3000</v>
      </c>
      <c r="U121" s="70"/>
      <c r="V121" s="76">
        <f>N121+O121</f>
        <v>5000</v>
      </c>
      <c r="W121" s="371"/>
      <c r="X121" s="344">
        <f t="shared" si="110"/>
        <v>5250</v>
      </c>
    </row>
    <row r="122" spans="1:25" ht="31.5" x14ac:dyDescent="0.2">
      <c r="A122" s="11">
        <v>2</v>
      </c>
      <c r="B122" s="51" t="s">
        <v>168</v>
      </c>
      <c r="C122" s="22"/>
      <c r="D122" s="349" t="s">
        <v>85</v>
      </c>
      <c r="E122" s="70">
        <v>1</v>
      </c>
      <c r="F122" s="70">
        <v>30000</v>
      </c>
      <c r="G122" s="70"/>
      <c r="H122" s="31">
        <f t="shared" si="111"/>
        <v>6500</v>
      </c>
      <c r="I122" s="70"/>
      <c r="J122" s="70"/>
      <c r="K122" s="70"/>
      <c r="L122" s="69">
        <v>6500</v>
      </c>
      <c r="M122" s="70"/>
      <c r="N122" s="76"/>
      <c r="O122" s="76">
        <f>SUM(P122:U122)</f>
        <v>10000</v>
      </c>
      <c r="P122" s="70"/>
      <c r="Q122" s="70"/>
      <c r="R122" s="73"/>
      <c r="S122" s="70"/>
      <c r="T122" s="70">
        <v>10000</v>
      </c>
      <c r="U122" s="70"/>
      <c r="V122" s="76">
        <f>N122+O122</f>
        <v>10000</v>
      </c>
      <c r="W122" s="371"/>
      <c r="X122" s="344">
        <f t="shared" si="110"/>
        <v>21000</v>
      </c>
      <c r="Y122" s="344"/>
    </row>
    <row r="123" spans="1:25" ht="63" x14ac:dyDescent="0.2">
      <c r="A123" s="11">
        <v>3</v>
      </c>
      <c r="B123" s="127" t="s">
        <v>169</v>
      </c>
      <c r="C123" s="22"/>
      <c r="D123" s="349" t="s">
        <v>47</v>
      </c>
      <c r="E123" s="70">
        <v>1</v>
      </c>
      <c r="F123" s="70">
        <v>15000</v>
      </c>
      <c r="G123" s="70"/>
      <c r="H123" s="31">
        <f t="shared" si="111"/>
        <v>0</v>
      </c>
      <c r="I123" s="70"/>
      <c r="J123" s="70"/>
      <c r="K123" s="70"/>
      <c r="L123" s="69"/>
      <c r="M123" s="70"/>
      <c r="N123" s="76">
        <v>10000</v>
      </c>
      <c r="O123" s="76">
        <f>SUM(P123:U123)</f>
        <v>4000</v>
      </c>
      <c r="P123" s="70"/>
      <c r="Q123" s="70"/>
      <c r="R123" s="73"/>
      <c r="S123" s="70"/>
      <c r="T123" s="70">
        <v>4000</v>
      </c>
      <c r="U123" s="70"/>
      <c r="V123" s="76">
        <f>N123+O123</f>
        <v>14000</v>
      </c>
      <c r="W123" s="371"/>
      <c r="X123" s="344">
        <f t="shared" si="110"/>
        <v>10500</v>
      </c>
    </row>
    <row r="124" spans="1:25" ht="47.25" x14ac:dyDescent="0.2">
      <c r="A124" s="11">
        <v>4</v>
      </c>
      <c r="B124" s="127" t="s">
        <v>170</v>
      </c>
      <c r="C124" s="22"/>
      <c r="D124" s="349" t="s">
        <v>47</v>
      </c>
      <c r="E124" s="70">
        <v>1</v>
      </c>
      <c r="F124" s="70">
        <v>15000</v>
      </c>
      <c r="G124" s="70"/>
      <c r="H124" s="31">
        <f t="shared" si="111"/>
        <v>0</v>
      </c>
      <c r="I124" s="70"/>
      <c r="J124" s="70"/>
      <c r="K124" s="70"/>
      <c r="L124" s="69"/>
      <c r="M124" s="70"/>
      <c r="N124" s="76">
        <v>10000</v>
      </c>
      <c r="O124" s="76">
        <f>SUM(P124:U124)</f>
        <v>4000</v>
      </c>
      <c r="P124" s="70"/>
      <c r="Q124" s="70"/>
      <c r="R124" s="73"/>
      <c r="S124" s="70"/>
      <c r="T124" s="70">
        <v>4000</v>
      </c>
      <c r="U124" s="70"/>
      <c r="V124" s="76">
        <f>N124+O124</f>
        <v>14000</v>
      </c>
      <c r="W124" s="371"/>
      <c r="X124" s="344">
        <f t="shared" si="110"/>
        <v>10500</v>
      </c>
    </row>
    <row r="125" spans="1:25" x14ac:dyDescent="0.2">
      <c r="A125" s="11"/>
      <c r="B125" s="50" t="s">
        <v>49</v>
      </c>
      <c r="C125" s="12"/>
      <c r="D125" s="12"/>
      <c r="E125" s="71">
        <f t="shared" ref="E125:V125" si="112">SUM(E126:E127)</f>
        <v>2</v>
      </c>
      <c r="F125" s="71">
        <f t="shared" si="112"/>
        <v>8500</v>
      </c>
      <c r="G125" s="71">
        <f t="shared" si="112"/>
        <v>0</v>
      </c>
      <c r="H125" s="71">
        <f t="shared" si="112"/>
        <v>14500</v>
      </c>
      <c r="I125" s="71">
        <f t="shared" si="112"/>
        <v>0</v>
      </c>
      <c r="J125" s="71">
        <f t="shared" si="112"/>
        <v>0</v>
      </c>
      <c r="K125" s="71">
        <f t="shared" si="112"/>
        <v>0</v>
      </c>
      <c r="L125" s="71">
        <f t="shared" si="112"/>
        <v>14500</v>
      </c>
      <c r="M125" s="71">
        <f t="shared" si="112"/>
        <v>0</v>
      </c>
      <c r="N125" s="71">
        <f t="shared" si="112"/>
        <v>0</v>
      </c>
      <c r="O125" s="71">
        <f t="shared" si="112"/>
        <v>3500</v>
      </c>
      <c r="P125" s="71">
        <f t="shared" si="112"/>
        <v>0</v>
      </c>
      <c r="Q125" s="71">
        <f t="shared" si="112"/>
        <v>0</v>
      </c>
      <c r="R125" s="71">
        <f t="shared" si="112"/>
        <v>0</v>
      </c>
      <c r="S125" s="71">
        <f t="shared" si="112"/>
        <v>0</v>
      </c>
      <c r="T125" s="71">
        <f t="shared" si="112"/>
        <v>3500</v>
      </c>
      <c r="U125" s="71">
        <f t="shared" si="112"/>
        <v>0</v>
      </c>
      <c r="V125" s="71">
        <f t="shared" si="112"/>
        <v>3500</v>
      </c>
      <c r="W125" s="343"/>
      <c r="X125" s="344">
        <f t="shared" si="108"/>
        <v>5950</v>
      </c>
    </row>
    <row r="126" spans="1:25" ht="84.75" customHeight="1" x14ac:dyDescent="0.2">
      <c r="A126" s="11">
        <v>1</v>
      </c>
      <c r="B126" s="51" t="s">
        <v>418</v>
      </c>
      <c r="C126" s="22"/>
      <c r="D126" s="349" t="s">
        <v>85</v>
      </c>
      <c r="E126" s="70">
        <v>1</v>
      </c>
      <c r="F126" s="70">
        <v>3000</v>
      </c>
      <c r="G126" s="70"/>
      <c r="H126" s="31">
        <f t="shared" si="96"/>
        <v>8000</v>
      </c>
      <c r="I126" s="70"/>
      <c r="J126" s="70"/>
      <c r="K126" s="70"/>
      <c r="L126" s="69">
        <v>8000</v>
      </c>
      <c r="M126" s="70"/>
      <c r="N126" s="76">
        <v>0</v>
      </c>
      <c r="O126" s="76">
        <f>SUM(P126:U126)</f>
        <v>2000</v>
      </c>
      <c r="P126" s="70"/>
      <c r="Q126" s="70"/>
      <c r="R126" s="73"/>
      <c r="S126" s="70"/>
      <c r="T126" s="70">
        <v>2000</v>
      </c>
      <c r="U126" s="70"/>
      <c r="V126" s="76">
        <f>N126+O126</f>
        <v>2000</v>
      </c>
      <c r="W126" s="371"/>
      <c r="X126" s="344">
        <f t="shared" si="108"/>
        <v>2100</v>
      </c>
    </row>
    <row r="127" spans="1:25" ht="57" customHeight="1" x14ac:dyDescent="0.2">
      <c r="A127" s="11">
        <v>2</v>
      </c>
      <c r="B127" s="51" t="s">
        <v>419</v>
      </c>
      <c r="C127" s="22"/>
      <c r="D127" s="349" t="s">
        <v>85</v>
      </c>
      <c r="E127" s="70">
        <v>1</v>
      </c>
      <c r="F127" s="70">
        <v>5500</v>
      </c>
      <c r="G127" s="70"/>
      <c r="H127" s="31">
        <f t="shared" si="96"/>
        <v>6500</v>
      </c>
      <c r="I127" s="70"/>
      <c r="J127" s="70"/>
      <c r="K127" s="70"/>
      <c r="L127" s="69">
        <v>6500</v>
      </c>
      <c r="M127" s="70"/>
      <c r="N127" s="76"/>
      <c r="O127" s="76">
        <f>SUM(P127:U127)</f>
        <v>1500</v>
      </c>
      <c r="P127" s="70"/>
      <c r="Q127" s="70"/>
      <c r="R127" s="73"/>
      <c r="S127" s="70"/>
      <c r="T127" s="70">
        <v>1500</v>
      </c>
      <c r="U127" s="70"/>
      <c r="V127" s="76">
        <f>N127+O127</f>
        <v>1500</v>
      </c>
      <c r="W127" s="371"/>
      <c r="X127" s="344">
        <f t="shared" si="108"/>
        <v>3849.9999999999995</v>
      </c>
    </row>
    <row r="128" spans="1:25" x14ac:dyDescent="0.2">
      <c r="A128" s="11" t="s">
        <v>117</v>
      </c>
      <c r="B128" s="50" t="s">
        <v>3</v>
      </c>
      <c r="C128" s="12"/>
      <c r="D128" s="12"/>
      <c r="E128" s="71">
        <f>E129+E132</f>
        <v>4</v>
      </c>
      <c r="F128" s="71">
        <f t="shared" ref="F128:V128" si="113">F129+F132</f>
        <v>40000</v>
      </c>
      <c r="G128" s="71">
        <f t="shared" si="113"/>
        <v>0</v>
      </c>
      <c r="H128" s="71">
        <f t="shared" si="113"/>
        <v>0</v>
      </c>
      <c r="I128" s="71">
        <f t="shared" si="113"/>
        <v>0</v>
      </c>
      <c r="J128" s="71">
        <f t="shared" si="113"/>
        <v>0</v>
      </c>
      <c r="K128" s="71">
        <f t="shared" si="113"/>
        <v>0</v>
      </c>
      <c r="L128" s="71">
        <f t="shared" si="113"/>
        <v>0</v>
      </c>
      <c r="M128" s="71">
        <f t="shared" si="113"/>
        <v>0</v>
      </c>
      <c r="N128" s="71">
        <f t="shared" si="113"/>
        <v>0</v>
      </c>
      <c r="O128" s="71">
        <f t="shared" si="113"/>
        <v>6400</v>
      </c>
      <c r="P128" s="71">
        <f t="shared" si="113"/>
        <v>0</v>
      </c>
      <c r="Q128" s="71">
        <f t="shared" si="113"/>
        <v>0</v>
      </c>
      <c r="R128" s="71">
        <f t="shared" si="113"/>
        <v>0</v>
      </c>
      <c r="S128" s="71">
        <f t="shared" si="113"/>
        <v>0</v>
      </c>
      <c r="T128" s="71">
        <f t="shared" si="113"/>
        <v>6400</v>
      </c>
      <c r="U128" s="71">
        <f t="shared" si="113"/>
        <v>0</v>
      </c>
      <c r="V128" s="71">
        <f t="shared" si="113"/>
        <v>6400</v>
      </c>
      <c r="W128" s="343"/>
      <c r="X128" s="344">
        <f t="shared" si="108"/>
        <v>28000</v>
      </c>
    </row>
    <row r="129" spans="1:24" x14ac:dyDescent="0.2">
      <c r="A129" s="11"/>
      <c r="B129" s="50" t="s">
        <v>48</v>
      </c>
      <c r="C129" s="12"/>
      <c r="D129" s="12"/>
      <c r="E129" s="71">
        <f t="shared" ref="E129:W129" si="114">SUM(E130:E131)</f>
        <v>2</v>
      </c>
      <c r="F129" s="71">
        <f t="shared" si="114"/>
        <v>40000</v>
      </c>
      <c r="G129" s="71">
        <f t="shared" si="114"/>
        <v>0</v>
      </c>
      <c r="H129" s="71">
        <f t="shared" si="114"/>
        <v>0</v>
      </c>
      <c r="I129" s="71">
        <f t="shared" si="114"/>
        <v>0</v>
      </c>
      <c r="J129" s="71">
        <f t="shared" si="114"/>
        <v>0</v>
      </c>
      <c r="K129" s="71">
        <f t="shared" si="114"/>
        <v>0</v>
      </c>
      <c r="L129" s="71">
        <f t="shared" si="114"/>
        <v>0</v>
      </c>
      <c r="M129" s="71">
        <f t="shared" si="114"/>
        <v>0</v>
      </c>
      <c r="N129" s="71">
        <f t="shared" si="114"/>
        <v>0</v>
      </c>
      <c r="O129" s="71">
        <f t="shared" si="114"/>
        <v>6000</v>
      </c>
      <c r="P129" s="71">
        <f t="shared" si="114"/>
        <v>0</v>
      </c>
      <c r="Q129" s="71">
        <f t="shared" si="114"/>
        <v>0</v>
      </c>
      <c r="R129" s="71">
        <f t="shared" si="114"/>
        <v>0</v>
      </c>
      <c r="S129" s="71">
        <f t="shared" si="114"/>
        <v>0</v>
      </c>
      <c r="T129" s="71">
        <f t="shared" si="114"/>
        <v>6000</v>
      </c>
      <c r="U129" s="71">
        <f t="shared" si="114"/>
        <v>0</v>
      </c>
      <c r="V129" s="71">
        <f t="shared" si="114"/>
        <v>6000</v>
      </c>
      <c r="W129" s="339">
        <f t="shared" si="114"/>
        <v>0</v>
      </c>
      <c r="X129" s="344">
        <f t="shared" si="108"/>
        <v>28000</v>
      </c>
    </row>
    <row r="130" spans="1:24" s="161" customFormat="1" ht="31.5" x14ac:dyDescent="0.2">
      <c r="A130" s="11"/>
      <c r="B130" s="51" t="s">
        <v>410</v>
      </c>
      <c r="C130" s="22"/>
      <c r="D130" s="349"/>
      <c r="E130" s="70">
        <v>1</v>
      </c>
      <c r="F130" s="70">
        <v>20000</v>
      </c>
      <c r="G130" s="70"/>
      <c r="H130" s="31"/>
      <c r="I130" s="70"/>
      <c r="J130" s="70"/>
      <c r="K130" s="70"/>
      <c r="L130" s="69"/>
      <c r="M130" s="70"/>
      <c r="N130" s="76"/>
      <c r="O130" s="76">
        <f>SUM(P130:U130)</f>
        <v>1000</v>
      </c>
      <c r="P130" s="128"/>
      <c r="Q130" s="128"/>
      <c r="R130" s="376"/>
      <c r="S130" s="128"/>
      <c r="T130" s="128">
        <v>1000</v>
      </c>
      <c r="U130" s="128"/>
      <c r="V130" s="76">
        <f>N130+O130</f>
        <v>1000</v>
      </c>
      <c r="W130" s="372"/>
      <c r="X130" s="344"/>
    </row>
    <row r="131" spans="1:24" s="370" customFormat="1" ht="31.5" x14ac:dyDescent="0.2">
      <c r="A131" s="270"/>
      <c r="B131" s="58" t="s">
        <v>411</v>
      </c>
      <c r="C131" s="26"/>
      <c r="D131" s="373"/>
      <c r="E131" s="49">
        <v>1</v>
      </c>
      <c r="F131" s="49">
        <v>20000</v>
      </c>
      <c r="G131" s="49"/>
      <c r="H131" s="31"/>
      <c r="I131" s="49"/>
      <c r="J131" s="49"/>
      <c r="K131" s="49"/>
      <c r="L131" s="78"/>
      <c r="M131" s="49"/>
      <c r="N131" s="76"/>
      <c r="O131" s="76">
        <f>SUM(P131:U131)</f>
        <v>5000</v>
      </c>
      <c r="P131" s="49"/>
      <c r="Q131" s="49"/>
      <c r="R131" s="49"/>
      <c r="S131" s="49"/>
      <c r="T131" s="49">
        <v>5000</v>
      </c>
      <c r="U131" s="49"/>
      <c r="V131" s="76">
        <f>N131+O131</f>
        <v>5000</v>
      </c>
      <c r="W131" s="54"/>
      <c r="X131" s="348"/>
    </row>
    <row r="132" spans="1:24" x14ac:dyDescent="0.2">
      <c r="A132" s="11"/>
      <c r="B132" s="50" t="s">
        <v>133</v>
      </c>
      <c r="C132" s="12"/>
      <c r="D132" s="12"/>
      <c r="E132" s="71">
        <f>SUM(E133:E134)</f>
        <v>2</v>
      </c>
      <c r="F132" s="71">
        <f t="shared" ref="F132:V132" si="115">SUM(F133:F134)</f>
        <v>0</v>
      </c>
      <c r="G132" s="71">
        <f t="shared" si="115"/>
        <v>0</v>
      </c>
      <c r="H132" s="71">
        <f t="shared" si="115"/>
        <v>0</v>
      </c>
      <c r="I132" s="71">
        <f t="shared" si="115"/>
        <v>0</v>
      </c>
      <c r="J132" s="71">
        <f t="shared" si="115"/>
        <v>0</v>
      </c>
      <c r="K132" s="71">
        <f t="shared" si="115"/>
        <v>0</v>
      </c>
      <c r="L132" s="71">
        <f t="shared" si="115"/>
        <v>0</v>
      </c>
      <c r="M132" s="71">
        <f t="shared" si="115"/>
        <v>0</v>
      </c>
      <c r="N132" s="71">
        <f t="shared" si="115"/>
        <v>0</v>
      </c>
      <c r="O132" s="71">
        <f t="shared" si="115"/>
        <v>400</v>
      </c>
      <c r="P132" s="71">
        <f t="shared" si="115"/>
        <v>0</v>
      </c>
      <c r="Q132" s="71">
        <f t="shared" si="115"/>
        <v>0</v>
      </c>
      <c r="R132" s="71">
        <f t="shared" si="115"/>
        <v>0</v>
      </c>
      <c r="S132" s="71">
        <f t="shared" si="115"/>
        <v>0</v>
      </c>
      <c r="T132" s="71">
        <f t="shared" si="115"/>
        <v>400</v>
      </c>
      <c r="U132" s="71">
        <f t="shared" si="115"/>
        <v>0</v>
      </c>
      <c r="V132" s="71">
        <f t="shared" si="115"/>
        <v>400</v>
      </c>
      <c r="W132" s="339">
        <f t="shared" ref="W132" si="116">SUM(W133:W133)</f>
        <v>0</v>
      </c>
      <c r="X132" s="344">
        <f t="shared" ref="X132" si="117">+F132*70%</f>
        <v>0</v>
      </c>
    </row>
    <row r="133" spans="1:24" s="161" customFormat="1" x14ac:dyDescent="0.2">
      <c r="A133" s="11"/>
      <c r="B133" s="51" t="s">
        <v>412</v>
      </c>
      <c r="C133" s="22"/>
      <c r="D133" s="349"/>
      <c r="E133" s="70">
        <v>1</v>
      </c>
      <c r="F133" s="70"/>
      <c r="G133" s="70"/>
      <c r="H133" s="31"/>
      <c r="I133" s="70"/>
      <c r="J133" s="70"/>
      <c r="K133" s="70"/>
      <c r="L133" s="69"/>
      <c r="M133" s="70"/>
      <c r="N133" s="76"/>
      <c r="O133" s="76">
        <f>SUM(P133:U133)</f>
        <v>200</v>
      </c>
      <c r="P133" s="128"/>
      <c r="Q133" s="128"/>
      <c r="R133" s="376"/>
      <c r="S133" s="128"/>
      <c r="T133" s="128">
        <v>200</v>
      </c>
      <c r="U133" s="128"/>
      <c r="V133" s="76">
        <f>N133+O133</f>
        <v>200</v>
      </c>
      <c r="W133" s="372"/>
      <c r="X133" s="344"/>
    </row>
    <row r="134" spans="1:24" ht="31.5" customHeight="1" x14ac:dyDescent="0.2">
      <c r="A134" s="11"/>
      <c r="B134" s="51" t="s">
        <v>498</v>
      </c>
      <c r="C134" s="22"/>
      <c r="D134" s="349"/>
      <c r="E134" s="70">
        <v>1</v>
      </c>
      <c r="F134" s="70"/>
      <c r="G134" s="70"/>
      <c r="H134" s="31"/>
      <c r="I134" s="70"/>
      <c r="J134" s="70"/>
      <c r="K134" s="70"/>
      <c r="L134" s="69"/>
      <c r="M134" s="70"/>
      <c r="N134" s="76"/>
      <c r="O134" s="76">
        <f>SUM(P134:U134)</f>
        <v>200</v>
      </c>
      <c r="P134" s="128"/>
      <c r="Q134" s="128"/>
      <c r="R134" s="376"/>
      <c r="S134" s="128"/>
      <c r="T134" s="128">
        <v>200</v>
      </c>
      <c r="U134" s="128"/>
      <c r="V134" s="76">
        <f>N134+O134</f>
        <v>200</v>
      </c>
      <c r="W134" s="372"/>
    </row>
    <row r="136" spans="1:24" ht="57" customHeight="1" x14ac:dyDescent="0.25">
      <c r="A136" s="657" t="s">
        <v>202</v>
      </c>
      <c r="B136" s="658"/>
      <c r="C136" s="658"/>
      <c r="D136" s="658"/>
      <c r="E136" s="658"/>
      <c r="F136" s="658"/>
      <c r="G136" s="658"/>
      <c r="H136" s="658"/>
      <c r="I136" s="658"/>
      <c r="J136" s="658"/>
      <c r="K136" s="658"/>
      <c r="L136" s="658"/>
      <c r="M136" s="658"/>
      <c r="N136" s="658"/>
      <c r="O136" s="658"/>
      <c r="P136" s="658"/>
      <c r="Q136" s="658"/>
      <c r="R136" s="658"/>
      <c r="S136" s="658"/>
      <c r="T136" s="658"/>
      <c r="U136" s="658"/>
      <c r="V136" s="658"/>
      <c r="W136" s="658"/>
    </row>
  </sheetData>
  <mergeCells count="25">
    <mergeCell ref="A136:W136"/>
    <mergeCell ref="L1:W1"/>
    <mergeCell ref="A2:W2"/>
    <mergeCell ref="A3:W3"/>
    <mergeCell ref="A4:W4"/>
    <mergeCell ref="H5:M6"/>
    <mergeCell ref="O5:U6"/>
    <mergeCell ref="V5:V9"/>
    <mergeCell ref="N5:N9"/>
    <mergeCell ref="A5:A9"/>
    <mergeCell ref="B5:B9"/>
    <mergeCell ref="C5:C9"/>
    <mergeCell ref="D5:D9"/>
    <mergeCell ref="E5:E9"/>
    <mergeCell ref="F5:F9"/>
    <mergeCell ref="G5:G9"/>
    <mergeCell ref="W5:W9"/>
    <mergeCell ref="H7:H9"/>
    <mergeCell ref="J7:J9"/>
    <mergeCell ref="K7:K9"/>
    <mergeCell ref="L7:L9"/>
    <mergeCell ref="M7:M9"/>
    <mergeCell ref="I7:I9"/>
    <mergeCell ref="O7:O9"/>
    <mergeCell ref="P7:U8"/>
  </mergeCells>
  <pageMargins left="0.31496062992125984" right="0.15748031496062992" top="0.70866141732283472" bottom="0.47244094488188981" header="0.59055118110236227" footer="0.15748031496062992"/>
  <pageSetup paperSize="9" scale="82" orientation="landscape" r:id="rId1"/>
  <headerFooter>
    <oddFooter>Page &amp;P&amp;R&amp;A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9"/>
  <sheetViews>
    <sheetView workbookViewId="0">
      <pane ySplit="10" topLeftCell="A11" activePane="bottomLeft" state="frozen"/>
      <selection pane="bottomLeft" activeCell="Q16" sqref="Q16"/>
    </sheetView>
  </sheetViews>
  <sheetFormatPr defaultRowHeight="12.75" x14ac:dyDescent="0.2"/>
  <cols>
    <col min="1" max="1" width="5" style="23" customWidth="1"/>
    <col min="2" max="2" width="28" style="23" customWidth="1"/>
    <col min="3" max="3" width="7.42578125" style="116" customWidth="1"/>
    <col min="4" max="4" width="6.140625" style="117" customWidth="1"/>
    <col min="5" max="5" width="6" style="113" customWidth="1"/>
    <col min="6" max="6" width="9.28515625" style="23" customWidth="1"/>
    <col min="7" max="13" width="9.28515625" style="23" hidden="1" customWidth="1"/>
    <col min="14" max="14" width="8.7109375" style="23" customWidth="1"/>
    <col min="15" max="15" width="10.140625" style="23" customWidth="1"/>
    <col min="16" max="16" width="8.7109375" style="23" customWidth="1"/>
    <col min="17" max="17" width="9.28515625" style="23" customWidth="1"/>
    <col min="18" max="18" width="9.42578125" style="23" customWidth="1"/>
    <col min="19" max="19" width="9.42578125" style="23" hidden="1" customWidth="1"/>
    <col min="20" max="20" width="9.42578125" style="23" customWidth="1"/>
    <col min="21" max="22" width="10" style="23" customWidth="1"/>
    <col min="23" max="23" width="12.85546875" style="23" customWidth="1"/>
    <col min="24" max="24" width="12.28515625" style="23" customWidth="1"/>
    <col min="25" max="16384" width="9.140625" style="23"/>
  </cols>
  <sheetData>
    <row r="1" spans="1:24" ht="24" customHeight="1" x14ac:dyDescent="0.25">
      <c r="T1" s="615" t="s">
        <v>200</v>
      </c>
      <c r="U1" s="615"/>
      <c r="V1" s="615"/>
      <c r="W1" s="615"/>
    </row>
    <row r="2" spans="1:24" s="5" customFormat="1" ht="29.25" customHeight="1" x14ac:dyDescent="0.2">
      <c r="A2" s="676" t="s">
        <v>204</v>
      </c>
      <c r="B2" s="676"/>
      <c r="C2" s="676"/>
      <c r="D2" s="676"/>
      <c r="E2" s="676"/>
      <c r="F2" s="676"/>
      <c r="G2" s="676"/>
      <c r="H2" s="676"/>
      <c r="I2" s="676"/>
      <c r="J2" s="676"/>
      <c r="K2" s="676"/>
      <c r="L2" s="676"/>
      <c r="M2" s="676"/>
      <c r="N2" s="676"/>
      <c r="O2" s="676"/>
      <c r="P2" s="676"/>
      <c r="Q2" s="676"/>
      <c r="R2" s="676"/>
      <c r="S2" s="676"/>
      <c r="T2" s="676"/>
      <c r="U2" s="676"/>
      <c r="V2" s="466"/>
      <c r="W2" s="7"/>
    </row>
    <row r="3" spans="1:24" s="5" customFormat="1" ht="16.5" customHeight="1" x14ac:dyDescent="0.2">
      <c r="A3" s="660" t="str">
        <f>'Tổng hợp KHV 2024'!A3:W3</f>
        <v>(Kèm theo Kế hoạch số ……./KH-UBND ngày ……./……/2023 của UBND huyện Tân Yên)</v>
      </c>
      <c r="B3" s="660"/>
      <c r="C3" s="660"/>
      <c r="D3" s="660"/>
      <c r="E3" s="660"/>
      <c r="F3" s="660"/>
      <c r="G3" s="660"/>
      <c r="H3" s="660"/>
      <c r="I3" s="660"/>
      <c r="J3" s="660"/>
      <c r="K3" s="660"/>
      <c r="L3" s="660"/>
      <c r="M3" s="660"/>
      <c r="N3" s="660"/>
      <c r="O3" s="660"/>
      <c r="P3" s="660"/>
      <c r="Q3" s="660"/>
      <c r="R3" s="660"/>
      <c r="S3" s="660"/>
      <c r="T3" s="660"/>
      <c r="U3" s="660"/>
      <c r="V3" s="462"/>
      <c r="W3" s="6"/>
    </row>
    <row r="4" spans="1:24" s="4" customFormat="1" ht="15.75" x14ac:dyDescent="0.2">
      <c r="A4" s="210"/>
      <c r="B4" s="210"/>
      <c r="C4" s="210"/>
      <c r="D4" s="210"/>
      <c r="E4" s="210"/>
      <c r="F4" s="210"/>
      <c r="G4" s="210"/>
      <c r="H4" s="210"/>
      <c r="I4" s="210"/>
      <c r="J4" s="210"/>
      <c r="K4" s="210"/>
      <c r="L4" s="210"/>
      <c r="M4" s="210"/>
      <c r="N4" s="210"/>
      <c r="O4" s="210"/>
      <c r="P4" s="210"/>
      <c r="Q4" s="210"/>
      <c r="R4" s="210"/>
      <c r="S4" s="210"/>
      <c r="T4" s="669" t="s">
        <v>36</v>
      </c>
      <c r="U4" s="669"/>
      <c r="V4" s="669"/>
      <c r="W4" s="669"/>
    </row>
    <row r="5" spans="1:24" s="3" customFormat="1" ht="12.75" customHeight="1" x14ac:dyDescent="0.2">
      <c r="A5" s="677" t="s">
        <v>35</v>
      </c>
      <c r="B5" s="673" t="s">
        <v>34</v>
      </c>
      <c r="C5" s="678" t="s">
        <v>165</v>
      </c>
      <c r="D5" s="679" t="s">
        <v>33</v>
      </c>
      <c r="E5" s="671" t="s">
        <v>32</v>
      </c>
      <c r="F5" s="671" t="s">
        <v>31</v>
      </c>
      <c r="G5" s="463"/>
      <c r="H5" s="463"/>
      <c r="I5" s="463"/>
      <c r="J5" s="463"/>
      <c r="K5" s="463"/>
      <c r="L5" s="463"/>
      <c r="M5" s="463"/>
      <c r="N5" s="680" t="s">
        <v>231</v>
      </c>
      <c r="O5" s="681" t="s">
        <v>164</v>
      </c>
      <c r="P5" s="681"/>
      <c r="Q5" s="681"/>
      <c r="R5" s="681"/>
      <c r="S5" s="681"/>
      <c r="T5" s="681"/>
      <c r="U5" s="681"/>
      <c r="V5" s="673" t="s">
        <v>193</v>
      </c>
      <c r="W5" s="670" t="s">
        <v>30</v>
      </c>
    </row>
    <row r="6" spans="1:24" s="2" customFormat="1" ht="12.75" customHeight="1" x14ac:dyDescent="0.2">
      <c r="A6" s="677"/>
      <c r="B6" s="674"/>
      <c r="C6" s="678"/>
      <c r="D6" s="679"/>
      <c r="E6" s="671"/>
      <c r="F6" s="671"/>
      <c r="G6" s="463"/>
      <c r="H6" s="463"/>
      <c r="I6" s="463"/>
      <c r="J6" s="463"/>
      <c r="K6" s="463"/>
      <c r="L6" s="463"/>
      <c r="M6" s="463"/>
      <c r="N6" s="680"/>
      <c r="O6" s="681"/>
      <c r="P6" s="681"/>
      <c r="Q6" s="681"/>
      <c r="R6" s="681"/>
      <c r="S6" s="681"/>
      <c r="T6" s="681"/>
      <c r="U6" s="681"/>
      <c r="V6" s="674"/>
      <c r="W6" s="670"/>
    </row>
    <row r="7" spans="1:24" s="2" customFormat="1" ht="12.75" customHeight="1" x14ac:dyDescent="0.2">
      <c r="A7" s="677"/>
      <c r="B7" s="674"/>
      <c r="C7" s="678"/>
      <c r="D7" s="679"/>
      <c r="E7" s="671"/>
      <c r="F7" s="671"/>
      <c r="G7" s="463"/>
      <c r="H7" s="463"/>
      <c r="I7" s="463"/>
      <c r="J7" s="463"/>
      <c r="K7" s="463"/>
      <c r="L7" s="463"/>
      <c r="M7" s="463"/>
      <c r="N7" s="680"/>
      <c r="O7" s="671" t="s">
        <v>29</v>
      </c>
      <c r="P7" s="671" t="s">
        <v>28</v>
      </c>
      <c r="Q7" s="671" t="s">
        <v>27</v>
      </c>
      <c r="R7" s="671" t="s">
        <v>26</v>
      </c>
      <c r="S7" s="463"/>
      <c r="T7" s="672" t="s">
        <v>25</v>
      </c>
      <c r="U7" s="671" t="s">
        <v>24</v>
      </c>
      <c r="V7" s="674"/>
      <c r="W7" s="670"/>
    </row>
    <row r="8" spans="1:24" s="2" customFormat="1" ht="12.75" customHeight="1" x14ac:dyDescent="0.2">
      <c r="A8" s="677"/>
      <c r="B8" s="674"/>
      <c r="C8" s="678"/>
      <c r="D8" s="679"/>
      <c r="E8" s="671"/>
      <c r="F8" s="671"/>
      <c r="G8" s="463"/>
      <c r="H8" s="463"/>
      <c r="I8" s="463"/>
      <c r="J8" s="463"/>
      <c r="K8" s="463"/>
      <c r="L8" s="463"/>
      <c r="M8" s="463"/>
      <c r="N8" s="680"/>
      <c r="O8" s="671"/>
      <c r="P8" s="671"/>
      <c r="Q8" s="671"/>
      <c r="R8" s="671"/>
      <c r="S8" s="463"/>
      <c r="T8" s="672"/>
      <c r="U8" s="671"/>
      <c r="V8" s="674"/>
      <c r="W8" s="670"/>
    </row>
    <row r="9" spans="1:24" s="2" customFormat="1" ht="12.75" customHeight="1" x14ac:dyDescent="0.2">
      <c r="A9" s="677"/>
      <c r="B9" s="674"/>
      <c r="C9" s="678"/>
      <c r="D9" s="679"/>
      <c r="E9" s="671"/>
      <c r="F9" s="671"/>
      <c r="G9" s="463"/>
      <c r="H9" s="463"/>
      <c r="I9" s="463"/>
      <c r="J9" s="463"/>
      <c r="K9" s="463"/>
      <c r="L9" s="463"/>
      <c r="M9" s="463"/>
      <c r="N9" s="680"/>
      <c r="O9" s="671"/>
      <c r="P9" s="671"/>
      <c r="Q9" s="671"/>
      <c r="R9" s="671"/>
      <c r="S9" s="463"/>
      <c r="T9" s="672"/>
      <c r="U9" s="671"/>
      <c r="V9" s="674"/>
      <c r="W9" s="670"/>
    </row>
    <row r="10" spans="1:24" s="2" customFormat="1" ht="12.75" customHeight="1" x14ac:dyDescent="0.2">
      <c r="A10" s="677"/>
      <c r="B10" s="675"/>
      <c r="C10" s="678"/>
      <c r="D10" s="679"/>
      <c r="E10" s="671"/>
      <c r="F10" s="671"/>
      <c r="G10" s="463"/>
      <c r="H10" s="463"/>
      <c r="I10" s="463"/>
      <c r="J10" s="463"/>
      <c r="K10" s="463"/>
      <c r="L10" s="463"/>
      <c r="M10" s="463"/>
      <c r="N10" s="680"/>
      <c r="O10" s="671"/>
      <c r="P10" s="671"/>
      <c r="Q10" s="671"/>
      <c r="R10" s="671"/>
      <c r="S10" s="463"/>
      <c r="T10" s="672"/>
      <c r="U10" s="671"/>
      <c r="V10" s="675"/>
      <c r="W10" s="670"/>
    </row>
    <row r="11" spans="1:24" s="2" customFormat="1" ht="12.75" hidden="1" customHeight="1" x14ac:dyDescent="0.2">
      <c r="A11" s="467">
        <v>1</v>
      </c>
      <c r="B11" s="465">
        <v>2</v>
      </c>
      <c r="C11" s="468">
        <v>3</v>
      </c>
      <c r="D11" s="469">
        <v>4</v>
      </c>
      <c r="E11" s="463">
        <v>5</v>
      </c>
      <c r="F11" s="463">
        <v>6</v>
      </c>
      <c r="G11" s="463">
        <v>7</v>
      </c>
      <c r="H11" s="463">
        <v>8</v>
      </c>
      <c r="I11" s="463">
        <v>9</v>
      </c>
      <c r="J11" s="463">
        <v>10</v>
      </c>
      <c r="K11" s="463">
        <v>11</v>
      </c>
      <c r="L11" s="463">
        <v>12</v>
      </c>
      <c r="M11" s="463">
        <v>13</v>
      </c>
      <c r="N11" s="470">
        <v>14</v>
      </c>
      <c r="O11" s="463">
        <v>15</v>
      </c>
      <c r="P11" s="463">
        <v>16</v>
      </c>
      <c r="Q11" s="463">
        <v>17</v>
      </c>
      <c r="R11" s="463">
        <v>18</v>
      </c>
      <c r="S11" s="463"/>
      <c r="T11" s="464">
        <v>19</v>
      </c>
      <c r="U11" s="463">
        <v>20</v>
      </c>
      <c r="V11" s="463">
        <v>21</v>
      </c>
      <c r="W11" s="471">
        <v>22</v>
      </c>
    </row>
    <row r="12" spans="1:24" s="16" customFormat="1" ht="21" customHeight="1" x14ac:dyDescent="0.2">
      <c r="A12" s="11"/>
      <c r="B12" s="14" t="s">
        <v>67</v>
      </c>
      <c r="C12" s="118"/>
      <c r="D12" s="119"/>
      <c r="E12" s="76">
        <f t="shared" ref="E12:V12" si="0">E13+E19+E21+E24+E27+E29+E33+E37+E40+E42+E45+E47+E55+E58+E35</f>
        <v>32</v>
      </c>
      <c r="F12" s="76">
        <f t="shared" si="0"/>
        <v>150335.03200000001</v>
      </c>
      <c r="G12" s="76">
        <f t="shared" si="0"/>
        <v>0</v>
      </c>
      <c r="H12" s="76">
        <f t="shared" si="0"/>
        <v>0</v>
      </c>
      <c r="I12" s="76">
        <f t="shared" si="0"/>
        <v>0</v>
      </c>
      <c r="J12" s="76">
        <f t="shared" si="0"/>
        <v>0</v>
      </c>
      <c r="K12" s="76">
        <f t="shared" si="0"/>
        <v>0</v>
      </c>
      <c r="L12" s="76">
        <f t="shared" si="0"/>
        <v>0</v>
      </c>
      <c r="M12" s="76">
        <f t="shared" si="0"/>
        <v>0</v>
      </c>
      <c r="N12" s="76">
        <f t="shared" si="0"/>
        <v>35730</v>
      </c>
      <c r="O12" s="76">
        <f t="shared" si="0"/>
        <v>57383</v>
      </c>
      <c r="P12" s="76">
        <f t="shared" si="0"/>
        <v>25298</v>
      </c>
      <c r="Q12" s="76">
        <f t="shared" si="0"/>
        <v>7600</v>
      </c>
      <c r="R12" s="76">
        <f t="shared" si="0"/>
        <v>4000</v>
      </c>
      <c r="S12" s="76">
        <f t="shared" si="0"/>
        <v>0</v>
      </c>
      <c r="T12" s="76">
        <f t="shared" si="0"/>
        <v>8200</v>
      </c>
      <c r="U12" s="76">
        <f t="shared" si="0"/>
        <v>12285</v>
      </c>
      <c r="V12" s="76">
        <f t="shared" si="0"/>
        <v>93113</v>
      </c>
      <c r="W12" s="76"/>
      <c r="X12" s="19">
        <f>73093-68123</f>
        <v>4970</v>
      </c>
    </row>
    <row r="13" spans="1:24" s="16" customFormat="1" ht="21" customHeight="1" x14ac:dyDescent="0.2">
      <c r="A13" s="11">
        <v>1</v>
      </c>
      <c r="B13" s="14" t="s">
        <v>20</v>
      </c>
      <c r="C13" s="118"/>
      <c r="D13" s="119"/>
      <c r="E13" s="76">
        <f>SUM(E14:E18)</f>
        <v>5</v>
      </c>
      <c r="F13" s="76">
        <f t="shared" ref="F13:V13" si="1">SUM(F14:F18)</f>
        <v>7200</v>
      </c>
      <c r="G13" s="76">
        <f t="shared" si="1"/>
        <v>0</v>
      </c>
      <c r="H13" s="76">
        <f t="shared" si="1"/>
        <v>0</v>
      </c>
      <c r="I13" s="76">
        <f t="shared" si="1"/>
        <v>0</v>
      </c>
      <c r="J13" s="76">
        <f t="shared" si="1"/>
        <v>0</v>
      </c>
      <c r="K13" s="76">
        <f t="shared" si="1"/>
        <v>0</v>
      </c>
      <c r="L13" s="76">
        <f t="shared" si="1"/>
        <v>0</v>
      </c>
      <c r="M13" s="76">
        <f t="shared" si="1"/>
        <v>0</v>
      </c>
      <c r="N13" s="76">
        <f t="shared" si="1"/>
        <v>0</v>
      </c>
      <c r="O13" s="76">
        <f t="shared" si="1"/>
        <v>6142</v>
      </c>
      <c r="P13" s="76">
        <f t="shared" si="1"/>
        <v>3352</v>
      </c>
      <c r="Q13" s="76">
        <f t="shared" si="1"/>
        <v>0</v>
      </c>
      <c r="R13" s="76">
        <f t="shared" si="1"/>
        <v>0</v>
      </c>
      <c r="S13" s="76">
        <f t="shared" si="1"/>
        <v>0</v>
      </c>
      <c r="T13" s="76">
        <f t="shared" si="1"/>
        <v>250</v>
      </c>
      <c r="U13" s="76">
        <f t="shared" si="1"/>
        <v>2540</v>
      </c>
      <c r="V13" s="76">
        <f t="shared" si="1"/>
        <v>6142</v>
      </c>
      <c r="W13" s="76"/>
    </row>
    <row r="14" spans="1:24" s="17" customFormat="1" ht="21" customHeight="1" x14ac:dyDescent="0.2">
      <c r="A14" s="92"/>
      <c r="B14" s="474" t="s">
        <v>592</v>
      </c>
      <c r="C14" s="522"/>
      <c r="D14" s="486" t="s">
        <v>588</v>
      </c>
      <c r="E14" s="31">
        <v>1</v>
      </c>
      <c r="F14" s="31">
        <v>1150</v>
      </c>
      <c r="G14" s="31"/>
      <c r="H14" s="31"/>
      <c r="I14" s="31"/>
      <c r="J14" s="31"/>
      <c r="K14" s="31"/>
      <c r="L14" s="31"/>
      <c r="M14" s="31"/>
      <c r="N14" s="31"/>
      <c r="O14" s="31">
        <f>SUM(P14:U14)</f>
        <v>1050</v>
      </c>
      <c r="P14" s="31">
        <v>800</v>
      </c>
      <c r="Q14" s="31"/>
      <c r="R14" s="31"/>
      <c r="S14" s="31"/>
      <c r="T14" s="31">
        <v>50</v>
      </c>
      <c r="U14" s="31">
        <v>200</v>
      </c>
      <c r="V14" s="31">
        <f>N14+O14</f>
        <v>1050</v>
      </c>
      <c r="W14" s="31"/>
    </row>
    <row r="15" spans="1:24" s="17" customFormat="1" ht="31.5" customHeight="1" x14ac:dyDescent="0.2">
      <c r="A15" s="92"/>
      <c r="B15" s="474" t="s">
        <v>593</v>
      </c>
      <c r="C15" s="522"/>
      <c r="D15" s="486" t="s">
        <v>588</v>
      </c>
      <c r="E15" s="31">
        <v>1</v>
      </c>
      <c r="F15" s="31">
        <v>3750</v>
      </c>
      <c r="G15" s="31"/>
      <c r="H15" s="31"/>
      <c r="I15" s="31"/>
      <c r="J15" s="31"/>
      <c r="K15" s="31"/>
      <c r="L15" s="31"/>
      <c r="M15" s="31"/>
      <c r="N15" s="31"/>
      <c r="O15" s="31">
        <f t="shared" ref="O15:O18" si="2">SUM(P15:U15)</f>
        <v>3062</v>
      </c>
      <c r="P15" s="31">
        <v>1262</v>
      </c>
      <c r="Q15" s="31"/>
      <c r="R15" s="31"/>
      <c r="S15" s="31"/>
      <c r="T15" s="31">
        <v>50</v>
      </c>
      <c r="U15" s="31">
        <v>1750</v>
      </c>
      <c r="V15" s="31">
        <f t="shared" ref="V15:V18" si="3">N15+O15</f>
        <v>3062</v>
      </c>
      <c r="W15" s="31"/>
    </row>
    <row r="16" spans="1:24" s="17" customFormat="1" ht="31.5" x14ac:dyDescent="0.2">
      <c r="A16" s="92"/>
      <c r="B16" s="474" t="s">
        <v>594</v>
      </c>
      <c r="C16" s="522"/>
      <c r="D16" s="486" t="s">
        <v>588</v>
      </c>
      <c r="E16" s="31">
        <v>1</v>
      </c>
      <c r="F16" s="31">
        <v>700</v>
      </c>
      <c r="G16" s="31"/>
      <c r="H16" s="31"/>
      <c r="I16" s="31"/>
      <c r="J16" s="31"/>
      <c r="K16" s="31"/>
      <c r="L16" s="31"/>
      <c r="M16" s="31"/>
      <c r="N16" s="31"/>
      <c r="O16" s="31">
        <f t="shared" si="2"/>
        <v>600</v>
      </c>
      <c r="P16" s="31">
        <v>350</v>
      </c>
      <c r="Q16" s="31"/>
      <c r="R16" s="31"/>
      <c r="S16" s="31"/>
      <c r="T16" s="31">
        <v>50</v>
      </c>
      <c r="U16" s="31">
        <v>200</v>
      </c>
      <c r="V16" s="31">
        <f t="shared" si="3"/>
        <v>600</v>
      </c>
      <c r="W16" s="31"/>
    </row>
    <row r="17" spans="1:24" s="17" customFormat="1" ht="31.5" x14ac:dyDescent="0.2">
      <c r="A17" s="92"/>
      <c r="B17" s="474" t="s">
        <v>595</v>
      </c>
      <c r="C17" s="522"/>
      <c r="D17" s="486" t="s">
        <v>588</v>
      </c>
      <c r="E17" s="31">
        <v>1</v>
      </c>
      <c r="F17" s="31">
        <v>600</v>
      </c>
      <c r="G17" s="31"/>
      <c r="H17" s="31"/>
      <c r="I17" s="31"/>
      <c r="J17" s="31"/>
      <c r="K17" s="31"/>
      <c r="L17" s="31"/>
      <c r="M17" s="31"/>
      <c r="N17" s="31"/>
      <c r="O17" s="31">
        <f t="shared" si="2"/>
        <v>500</v>
      </c>
      <c r="P17" s="31">
        <v>250</v>
      </c>
      <c r="Q17" s="31"/>
      <c r="R17" s="31"/>
      <c r="S17" s="31"/>
      <c r="T17" s="31">
        <v>50</v>
      </c>
      <c r="U17" s="31">
        <v>200</v>
      </c>
      <c r="V17" s="31">
        <f t="shared" si="3"/>
        <v>500</v>
      </c>
      <c r="W17" s="31"/>
    </row>
    <row r="18" spans="1:24" s="17" customFormat="1" ht="31.5" x14ac:dyDescent="0.2">
      <c r="A18" s="92"/>
      <c r="B18" s="474" t="s">
        <v>596</v>
      </c>
      <c r="C18" s="522"/>
      <c r="D18" s="486" t="s">
        <v>588</v>
      </c>
      <c r="E18" s="31">
        <v>1</v>
      </c>
      <c r="F18" s="31">
        <v>1000</v>
      </c>
      <c r="G18" s="31"/>
      <c r="H18" s="31"/>
      <c r="I18" s="31"/>
      <c r="J18" s="31"/>
      <c r="K18" s="31"/>
      <c r="L18" s="31"/>
      <c r="M18" s="31"/>
      <c r="N18" s="31"/>
      <c r="O18" s="31">
        <f t="shared" si="2"/>
        <v>930</v>
      </c>
      <c r="P18" s="31">
        <v>690</v>
      </c>
      <c r="Q18" s="31"/>
      <c r="R18" s="31"/>
      <c r="S18" s="31"/>
      <c r="T18" s="31">
        <v>50</v>
      </c>
      <c r="U18" s="31">
        <v>190</v>
      </c>
      <c r="V18" s="31">
        <f t="shared" si="3"/>
        <v>930</v>
      </c>
      <c r="W18" s="31"/>
    </row>
    <row r="19" spans="1:24" s="16" customFormat="1" ht="15.75" x14ac:dyDescent="0.2">
      <c r="A19" s="11">
        <v>2</v>
      </c>
      <c r="B19" s="14" t="s">
        <v>21</v>
      </c>
      <c r="C19" s="118"/>
      <c r="D19" s="119"/>
      <c r="E19" s="76">
        <f>+E20</f>
        <v>1</v>
      </c>
      <c r="F19" s="76">
        <f t="shared" ref="F19:V19" si="4">+F20</f>
        <v>9000</v>
      </c>
      <c r="G19" s="76">
        <f t="shared" si="4"/>
        <v>0</v>
      </c>
      <c r="H19" s="76">
        <f t="shared" si="4"/>
        <v>0</v>
      </c>
      <c r="I19" s="76">
        <f t="shared" si="4"/>
        <v>0</v>
      </c>
      <c r="J19" s="76">
        <f t="shared" si="4"/>
        <v>0</v>
      </c>
      <c r="K19" s="76">
        <f t="shared" si="4"/>
        <v>0</v>
      </c>
      <c r="L19" s="76">
        <f t="shared" si="4"/>
        <v>0</v>
      </c>
      <c r="M19" s="76">
        <f t="shared" si="4"/>
        <v>0</v>
      </c>
      <c r="N19" s="76">
        <f t="shared" si="4"/>
        <v>0</v>
      </c>
      <c r="O19" s="76">
        <f t="shared" si="4"/>
        <v>5352</v>
      </c>
      <c r="P19" s="76">
        <f t="shared" si="4"/>
        <v>3352</v>
      </c>
      <c r="Q19" s="76">
        <f t="shared" si="4"/>
        <v>1000</v>
      </c>
      <c r="R19" s="76">
        <f t="shared" si="4"/>
        <v>0</v>
      </c>
      <c r="S19" s="76">
        <f t="shared" si="4"/>
        <v>0</v>
      </c>
      <c r="T19" s="76">
        <f t="shared" si="4"/>
        <v>1000</v>
      </c>
      <c r="U19" s="76">
        <f t="shared" si="4"/>
        <v>0</v>
      </c>
      <c r="V19" s="76">
        <f t="shared" si="4"/>
        <v>5352</v>
      </c>
      <c r="W19" s="138"/>
    </row>
    <row r="20" spans="1:24" s="56" customFormat="1" ht="36" customHeight="1" x14ac:dyDescent="0.2">
      <c r="A20" s="81"/>
      <c r="B20" s="79" t="s">
        <v>154</v>
      </c>
      <c r="C20" s="93"/>
      <c r="D20" s="95">
        <v>2024</v>
      </c>
      <c r="E20" s="97">
        <v>1</v>
      </c>
      <c r="F20" s="49">
        <v>9000</v>
      </c>
      <c r="G20" s="49"/>
      <c r="H20" s="49"/>
      <c r="I20" s="49"/>
      <c r="J20" s="49"/>
      <c r="K20" s="49"/>
      <c r="L20" s="49"/>
      <c r="M20" s="49"/>
      <c r="N20" s="49"/>
      <c r="O20" s="49">
        <f>SUM(P20:U20)</f>
        <v>5352</v>
      </c>
      <c r="P20" s="49">
        <v>3352</v>
      </c>
      <c r="Q20" s="49">
        <v>1000</v>
      </c>
      <c r="R20" s="49"/>
      <c r="S20" s="49"/>
      <c r="T20" s="49">
        <v>1000</v>
      </c>
      <c r="U20" s="49"/>
      <c r="V20" s="49">
        <f>N20+O20</f>
        <v>5352</v>
      </c>
      <c r="W20" s="138"/>
    </row>
    <row r="21" spans="1:24" s="264" customFormat="1" ht="36" customHeight="1" x14ac:dyDescent="0.2">
      <c r="A21" s="345">
        <v>3</v>
      </c>
      <c r="B21" s="517" t="s">
        <v>19</v>
      </c>
      <c r="C21" s="514"/>
      <c r="D21" s="518"/>
      <c r="E21" s="47">
        <f>SUM(E22:E23)</f>
        <v>2</v>
      </c>
      <c r="F21" s="47">
        <f t="shared" ref="F21:V21" si="5">SUM(F22:F23)</f>
        <v>22290</v>
      </c>
      <c r="G21" s="47">
        <f t="shared" si="5"/>
        <v>0</v>
      </c>
      <c r="H21" s="47">
        <f t="shared" si="5"/>
        <v>0</v>
      </c>
      <c r="I21" s="47">
        <f t="shared" si="5"/>
        <v>0</v>
      </c>
      <c r="J21" s="47">
        <f t="shared" si="5"/>
        <v>0</v>
      </c>
      <c r="K21" s="47">
        <f t="shared" si="5"/>
        <v>0</v>
      </c>
      <c r="L21" s="47">
        <f t="shared" si="5"/>
        <v>0</v>
      </c>
      <c r="M21" s="47">
        <f t="shared" si="5"/>
        <v>0</v>
      </c>
      <c r="N21" s="47">
        <f t="shared" si="5"/>
        <v>10000</v>
      </c>
      <c r="O21" s="47">
        <f t="shared" si="5"/>
        <v>1589</v>
      </c>
      <c r="P21" s="47">
        <f t="shared" si="5"/>
        <v>262</v>
      </c>
      <c r="Q21" s="47">
        <f t="shared" si="5"/>
        <v>1000</v>
      </c>
      <c r="R21" s="47">
        <f t="shared" si="5"/>
        <v>0</v>
      </c>
      <c r="S21" s="47">
        <f t="shared" si="5"/>
        <v>0</v>
      </c>
      <c r="T21" s="47">
        <f t="shared" si="5"/>
        <v>327</v>
      </c>
      <c r="U21" s="47">
        <f t="shared" si="5"/>
        <v>0</v>
      </c>
      <c r="V21" s="47">
        <f t="shared" si="5"/>
        <v>11589</v>
      </c>
      <c r="W21" s="516"/>
    </row>
    <row r="22" spans="1:24" s="56" customFormat="1" ht="63" x14ac:dyDescent="0.2">
      <c r="A22" s="81"/>
      <c r="B22" s="79" t="s">
        <v>599</v>
      </c>
      <c r="C22" s="93"/>
      <c r="D22" s="519" t="s">
        <v>55</v>
      </c>
      <c r="E22" s="97">
        <v>1</v>
      </c>
      <c r="F22" s="49">
        <v>14990</v>
      </c>
      <c r="G22" s="49"/>
      <c r="H22" s="49"/>
      <c r="I22" s="49"/>
      <c r="J22" s="49"/>
      <c r="K22" s="49"/>
      <c r="L22" s="49"/>
      <c r="M22" s="49"/>
      <c r="N22" s="49">
        <v>10000</v>
      </c>
      <c r="O22" s="49">
        <f t="shared" ref="O22:O26" si="6">SUM(P22:U22)</f>
        <v>1000</v>
      </c>
      <c r="P22" s="49"/>
      <c r="Q22" s="49">
        <v>1000</v>
      </c>
      <c r="R22" s="49"/>
      <c r="S22" s="49"/>
      <c r="T22" s="49"/>
      <c r="U22" s="49"/>
      <c r="V22" s="49">
        <f t="shared" ref="V22:V23" si="7">N22+O22</f>
        <v>11000</v>
      </c>
      <c r="W22" s="138"/>
    </row>
    <row r="23" spans="1:24" s="56" customFormat="1" ht="63" x14ac:dyDescent="0.2">
      <c r="A23" s="81"/>
      <c r="B23" s="79" t="s">
        <v>601</v>
      </c>
      <c r="C23" s="93"/>
      <c r="D23" s="519" t="s">
        <v>55</v>
      </c>
      <c r="E23" s="97">
        <v>1</v>
      </c>
      <c r="F23" s="49">
        <v>7300</v>
      </c>
      <c r="G23" s="49"/>
      <c r="H23" s="49"/>
      <c r="I23" s="49"/>
      <c r="J23" s="49"/>
      <c r="K23" s="49"/>
      <c r="L23" s="49"/>
      <c r="M23" s="49"/>
      <c r="N23" s="49"/>
      <c r="O23" s="49">
        <f t="shared" si="6"/>
        <v>589</v>
      </c>
      <c r="P23" s="49">
        <v>262</v>
      </c>
      <c r="Q23" s="49"/>
      <c r="R23" s="49"/>
      <c r="S23" s="49"/>
      <c r="T23" s="49">
        <f>1000-673</f>
        <v>327</v>
      </c>
      <c r="U23" s="49"/>
      <c r="V23" s="49">
        <f t="shared" si="7"/>
        <v>589</v>
      </c>
      <c r="W23" s="138"/>
    </row>
    <row r="24" spans="1:24" s="264" customFormat="1" ht="36" customHeight="1" x14ac:dyDescent="0.2">
      <c r="A24" s="345">
        <v>4</v>
      </c>
      <c r="B24" s="517" t="s">
        <v>17</v>
      </c>
      <c r="C24" s="514"/>
      <c r="D24" s="518"/>
      <c r="E24" s="47">
        <f>SUM(E25:E26)</f>
        <v>2</v>
      </c>
      <c r="F24" s="47">
        <f t="shared" ref="F24:V24" si="8">SUM(F25:F26)</f>
        <v>16600</v>
      </c>
      <c r="G24" s="47">
        <f t="shared" si="8"/>
        <v>0</v>
      </c>
      <c r="H24" s="47">
        <f t="shared" si="8"/>
        <v>0</v>
      </c>
      <c r="I24" s="47">
        <f t="shared" si="8"/>
        <v>0</v>
      </c>
      <c r="J24" s="47">
        <f t="shared" si="8"/>
        <v>0</v>
      </c>
      <c r="K24" s="47">
        <f t="shared" si="8"/>
        <v>0</v>
      </c>
      <c r="L24" s="47">
        <f t="shared" si="8"/>
        <v>0</v>
      </c>
      <c r="M24" s="47">
        <f t="shared" si="8"/>
        <v>0</v>
      </c>
      <c r="N24" s="47">
        <f t="shared" si="8"/>
        <v>500</v>
      </c>
      <c r="O24" s="47">
        <f t="shared" si="6"/>
        <v>4052</v>
      </c>
      <c r="P24" s="47">
        <f t="shared" si="8"/>
        <v>3352</v>
      </c>
      <c r="Q24" s="47">
        <f t="shared" si="8"/>
        <v>0</v>
      </c>
      <c r="R24" s="47">
        <f t="shared" si="8"/>
        <v>0</v>
      </c>
      <c r="S24" s="47">
        <f t="shared" si="8"/>
        <v>0</v>
      </c>
      <c r="T24" s="47">
        <f t="shared" si="8"/>
        <v>700</v>
      </c>
      <c r="U24" s="47">
        <f t="shared" si="8"/>
        <v>0</v>
      </c>
      <c r="V24" s="47">
        <f t="shared" si="8"/>
        <v>4552</v>
      </c>
      <c r="W24" s="516"/>
    </row>
    <row r="25" spans="1:24" s="56" customFormat="1" ht="47.25" x14ac:dyDescent="0.2">
      <c r="A25" s="81"/>
      <c r="B25" s="520" t="s">
        <v>590</v>
      </c>
      <c r="C25" s="93"/>
      <c r="D25" s="519" t="s">
        <v>367</v>
      </c>
      <c r="E25" s="97">
        <v>1</v>
      </c>
      <c r="F25" s="49">
        <v>14900</v>
      </c>
      <c r="G25" s="49"/>
      <c r="H25" s="49"/>
      <c r="I25" s="49"/>
      <c r="J25" s="49"/>
      <c r="K25" s="49"/>
      <c r="L25" s="49"/>
      <c r="M25" s="49"/>
      <c r="N25" s="49">
        <v>500</v>
      </c>
      <c r="O25" s="49">
        <f t="shared" si="6"/>
        <v>2500</v>
      </c>
      <c r="P25" s="49">
        <v>2000</v>
      </c>
      <c r="Q25" s="49"/>
      <c r="R25" s="49"/>
      <c r="S25" s="49"/>
      <c r="T25" s="49">
        <v>500</v>
      </c>
      <c r="U25" s="49"/>
      <c r="V25" s="49">
        <f t="shared" ref="V25:V59" si="9">N25+O25</f>
        <v>3000</v>
      </c>
      <c r="W25" s="138"/>
    </row>
    <row r="26" spans="1:24" s="56" customFormat="1" ht="36" customHeight="1" x14ac:dyDescent="0.2">
      <c r="A26" s="81"/>
      <c r="B26" s="521" t="s">
        <v>591</v>
      </c>
      <c r="C26" s="93"/>
      <c r="D26" s="95">
        <v>2024</v>
      </c>
      <c r="E26" s="97">
        <v>1</v>
      </c>
      <c r="F26" s="49">
        <v>1700</v>
      </c>
      <c r="G26" s="49"/>
      <c r="H26" s="49"/>
      <c r="I26" s="49"/>
      <c r="J26" s="49"/>
      <c r="K26" s="49"/>
      <c r="L26" s="49"/>
      <c r="M26" s="49"/>
      <c r="N26" s="49"/>
      <c r="O26" s="49">
        <f t="shared" si="6"/>
        <v>1552</v>
      </c>
      <c r="P26" s="49">
        <v>1352</v>
      </c>
      <c r="Q26" s="49"/>
      <c r="R26" s="49"/>
      <c r="S26" s="49"/>
      <c r="T26" s="49">
        <v>200</v>
      </c>
      <c r="U26" s="49"/>
      <c r="V26" s="49">
        <f t="shared" si="9"/>
        <v>1552</v>
      </c>
      <c r="W26" s="138"/>
    </row>
    <row r="27" spans="1:24" s="264" customFormat="1" ht="36" customHeight="1" x14ac:dyDescent="0.2">
      <c r="A27" s="345">
        <v>5</v>
      </c>
      <c r="B27" s="517" t="s">
        <v>18</v>
      </c>
      <c r="C27" s="514"/>
      <c r="D27" s="518"/>
      <c r="E27" s="47">
        <f>SUM(E28)</f>
        <v>1</v>
      </c>
      <c r="F27" s="47">
        <f t="shared" ref="F27:V27" si="10">SUM(F28)</f>
        <v>5200</v>
      </c>
      <c r="G27" s="47">
        <f t="shared" si="10"/>
        <v>0</v>
      </c>
      <c r="H27" s="47">
        <f t="shared" si="10"/>
        <v>0</v>
      </c>
      <c r="I27" s="47">
        <f t="shared" si="10"/>
        <v>0</v>
      </c>
      <c r="J27" s="47">
        <f t="shared" si="10"/>
        <v>0</v>
      </c>
      <c r="K27" s="47">
        <f t="shared" si="10"/>
        <v>0</v>
      </c>
      <c r="L27" s="47">
        <f t="shared" si="10"/>
        <v>0</v>
      </c>
      <c r="M27" s="47">
        <f t="shared" si="10"/>
        <v>0</v>
      </c>
      <c r="N27" s="47">
        <f t="shared" si="10"/>
        <v>3090</v>
      </c>
      <c r="O27" s="47">
        <f t="shared" si="10"/>
        <v>562</v>
      </c>
      <c r="P27" s="47">
        <f t="shared" si="10"/>
        <v>262</v>
      </c>
      <c r="Q27" s="47">
        <f t="shared" si="10"/>
        <v>300</v>
      </c>
      <c r="R27" s="47">
        <f t="shared" si="10"/>
        <v>0</v>
      </c>
      <c r="S27" s="47">
        <f t="shared" si="10"/>
        <v>0</v>
      </c>
      <c r="T27" s="47">
        <f t="shared" si="10"/>
        <v>0</v>
      </c>
      <c r="U27" s="47">
        <f t="shared" si="10"/>
        <v>0</v>
      </c>
      <c r="V27" s="47">
        <f t="shared" si="10"/>
        <v>3652</v>
      </c>
      <c r="W27" s="516"/>
    </row>
    <row r="28" spans="1:24" s="56" customFormat="1" ht="47.25" x14ac:dyDescent="0.2">
      <c r="A28" s="81"/>
      <c r="B28" s="79" t="s">
        <v>587</v>
      </c>
      <c r="C28" s="93"/>
      <c r="D28" s="519" t="s">
        <v>588</v>
      </c>
      <c r="E28" s="97">
        <v>1</v>
      </c>
      <c r="F28" s="49">
        <v>5200</v>
      </c>
      <c r="G28" s="49"/>
      <c r="H28" s="49"/>
      <c r="I28" s="49"/>
      <c r="J28" s="49"/>
      <c r="K28" s="49"/>
      <c r="L28" s="49"/>
      <c r="M28" s="49"/>
      <c r="N28" s="49">
        <v>3090</v>
      </c>
      <c r="O28" s="49">
        <f t="shared" ref="O28" si="11">SUM(P28:U28)</f>
        <v>562</v>
      </c>
      <c r="P28" s="49">
        <v>262</v>
      </c>
      <c r="Q28" s="49">
        <v>300</v>
      </c>
      <c r="R28" s="49"/>
      <c r="S28" s="49"/>
      <c r="T28" s="49"/>
      <c r="U28" s="49"/>
      <c r="V28" s="49">
        <f t="shared" si="9"/>
        <v>3652</v>
      </c>
      <c r="W28" s="138"/>
    </row>
    <row r="29" spans="1:24" s="56" customFormat="1" ht="36" customHeight="1" x14ac:dyDescent="0.2">
      <c r="A29" s="81">
        <v>6</v>
      </c>
      <c r="B29" s="14" t="s">
        <v>16</v>
      </c>
      <c r="C29" s="93"/>
      <c r="D29" s="95"/>
      <c r="E29" s="76">
        <f t="shared" ref="E29:U29" si="12">SUM(E30:E32)</f>
        <v>3</v>
      </c>
      <c r="F29" s="76">
        <f t="shared" si="12"/>
        <v>8500</v>
      </c>
      <c r="G29" s="76">
        <f t="shared" si="12"/>
        <v>0</v>
      </c>
      <c r="H29" s="76">
        <f t="shared" si="12"/>
        <v>0</v>
      </c>
      <c r="I29" s="76">
        <f t="shared" si="12"/>
        <v>0</v>
      </c>
      <c r="J29" s="76">
        <f t="shared" si="12"/>
        <v>0</v>
      </c>
      <c r="K29" s="76">
        <f t="shared" si="12"/>
        <v>0</v>
      </c>
      <c r="L29" s="76">
        <f t="shared" si="12"/>
        <v>0</v>
      </c>
      <c r="M29" s="76">
        <f t="shared" si="12"/>
        <v>0</v>
      </c>
      <c r="N29" s="76">
        <f t="shared" si="12"/>
        <v>0</v>
      </c>
      <c r="O29" s="76">
        <f t="shared" si="12"/>
        <v>1600</v>
      </c>
      <c r="P29" s="76">
        <f t="shared" si="12"/>
        <v>0</v>
      </c>
      <c r="Q29" s="76">
        <f t="shared" si="12"/>
        <v>0</v>
      </c>
      <c r="R29" s="76">
        <f t="shared" si="12"/>
        <v>0</v>
      </c>
      <c r="S29" s="76">
        <f t="shared" si="12"/>
        <v>0</v>
      </c>
      <c r="T29" s="76">
        <f t="shared" si="12"/>
        <v>600</v>
      </c>
      <c r="U29" s="76">
        <f t="shared" si="12"/>
        <v>1000</v>
      </c>
      <c r="V29" s="49">
        <f t="shared" si="9"/>
        <v>1600</v>
      </c>
      <c r="W29" s="138"/>
    </row>
    <row r="30" spans="1:24" s="56" customFormat="1" ht="70.5" customHeight="1" x14ac:dyDescent="0.2">
      <c r="A30" s="81"/>
      <c r="B30" s="61" t="s">
        <v>624</v>
      </c>
      <c r="C30" s="93"/>
      <c r="D30" s="96" t="s">
        <v>370</v>
      </c>
      <c r="E30" s="97">
        <v>1</v>
      </c>
      <c r="F30" s="49">
        <v>6000</v>
      </c>
      <c r="G30" s="49"/>
      <c r="H30" s="49"/>
      <c r="I30" s="49"/>
      <c r="J30" s="49"/>
      <c r="K30" s="49"/>
      <c r="L30" s="49"/>
      <c r="M30" s="49"/>
      <c r="N30" s="49"/>
      <c r="O30" s="49">
        <f>SUM(P30:U30)</f>
        <v>200</v>
      </c>
      <c r="P30" s="49"/>
      <c r="Q30" s="49"/>
      <c r="R30" s="49"/>
      <c r="S30" s="49"/>
      <c r="T30" s="49">
        <v>200</v>
      </c>
      <c r="U30" s="49"/>
      <c r="V30" s="49">
        <f t="shared" si="9"/>
        <v>200</v>
      </c>
      <c r="W30" s="138" t="s">
        <v>625</v>
      </c>
      <c r="X30" s="61"/>
    </row>
    <row r="31" spans="1:24" s="56" customFormat="1" ht="66" customHeight="1" x14ac:dyDescent="0.2">
      <c r="A31" s="81"/>
      <c r="B31" s="61" t="s">
        <v>448</v>
      </c>
      <c r="C31" s="93"/>
      <c r="D31" s="96" t="s">
        <v>370</v>
      </c>
      <c r="E31" s="97">
        <v>1</v>
      </c>
      <c r="F31" s="49">
        <v>2500</v>
      </c>
      <c r="G31" s="49"/>
      <c r="H31" s="49"/>
      <c r="I31" s="49"/>
      <c r="J31" s="49"/>
      <c r="K31" s="49"/>
      <c r="L31" s="49"/>
      <c r="M31" s="49"/>
      <c r="N31" s="49"/>
      <c r="O31" s="49">
        <f>SUM(P31:U31)</f>
        <v>1200</v>
      </c>
      <c r="P31" s="49"/>
      <c r="Q31" s="49"/>
      <c r="R31" s="49"/>
      <c r="S31" s="49"/>
      <c r="T31" s="49">
        <v>200</v>
      </c>
      <c r="U31" s="49">
        <v>1000</v>
      </c>
      <c r="V31" s="49">
        <f t="shared" ref="V31" si="13">N31+O31</f>
        <v>1200</v>
      </c>
      <c r="W31" s="138" t="s">
        <v>625</v>
      </c>
    </row>
    <row r="32" spans="1:24" s="56" customFormat="1" ht="70.5" customHeight="1" x14ac:dyDescent="0.2">
      <c r="A32" s="81"/>
      <c r="B32" s="61" t="s">
        <v>623</v>
      </c>
      <c r="C32" s="93"/>
      <c r="D32" s="96" t="s">
        <v>370</v>
      </c>
      <c r="E32" s="97">
        <v>1</v>
      </c>
      <c r="F32" s="49"/>
      <c r="G32" s="49"/>
      <c r="H32" s="49"/>
      <c r="I32" s="49"/>
      <c r="J32" s="49"/>
      <c r="K32" s="49"/>
      <c r="L32" s="49"/>
      <c r="M32" s="49"/>
      <c r="N32" s="49"/>
      <c r="O32" s="49">
        <f>SUM(P32:U32)</f>
        <v>200</v>
      </c>
      <c r="P32" s="49"/>
      <c r="Q32" s="49"/>
      <c r="R32" s="49"/>
      <c r="S32" s="49"/>
      <c r="T32" s="49">
        <v>200</v>
      </c>
      <c r="U32" s="49"/>
      <c r="V32" s="49"/>
      <c r="W32" s="138" t="s">
        <v>625</v>
      </c>
      <c r="X32" s="570"/>
    </row>
    <row r="33" spans="1:23" s="264" customFormat="1" ht="36" customHeight="1" x14ac:dyDescent="0.2">
      <c r="A33" s="345">
        <v>7</v>
      </c>
      <c r="B33" s="513" t="s">
        <v>15</v>
      </c>
      <c r="C33" s="514"/>
      <c r="D33" s="515"/>
      <c r="E33" s="47">
        <f>SUM(E34)</f>
        <v>1</v>
      </c>
      <c r="F33" s="47">
        <f t="shared" ref="F33:V33" si="14">SUM(F34)</f>
        <v>4000</v>
      </c>
      <c r="G33" s="47">
        <f t="shared" si="14"/>
        <v>0</v>
      </c>
      <c r="H33" s="47">
        <f t="shared" si="14"/>
        <v>0</v>
      </c>
      <c r="I33" s="47">
        <f t="shared" si="14"/>
        <v>0</v>
      </c>
      <c r="J33" s="47">
        <f t="shared" si="14"/>
        <v>0</v>
      </c>
      <c r="K33" s="47">
        <f t="shared" si="14"/>
        <v>0</v>
      </c>
      <c r="L33" s="47">
        <f t="shared" si="14"/>
        <v>0</v>
      </c>
      <c r="M33" s="47">
        <f t="shared" si="14"/>
        <v>0</v>
      </c>
      <c r="N33" s="47">
        <f t="shared" si="14"/>
        <v>0</v>
      </c>
      <c r="O33" s="47">
        <f t="shared" si="14"/>
        <v>1562</v>
      </c>
      <c r="P33" s="47">
        <f t="shared" si="14"/>
        <v>262</v>
      </c>
      <c r="Q33" s="47">
        <f t="shared" si="14"/>
        <v>300</v>
      </c>
      <c r="R33" s="47">
        <f t="shared" si="14"/>
        <v>0</v>
      </c>
      <c r="S33" s="47">
        <f t="shared" si="14"/>
        <v>0</v>
      </c>
      <c r="T33" s="47">
        <f t="shared" si="14"/>
        <v>1000</v>
      </c>
      <c r="U33" s="47">
        <f t="shared" si="14"/>
        <v>0</v>
      </c>
      <c r="V33" s="47">
        <f t="shared" si="14"/>
        <v>1562</v>
      </c>
      <c r="W33" s="516"/>
    </row>
    <row r="34" spans="1:23" s="56" customFormat="1" ht="36" customHeight="1" x14ac:dyDescent="0.2">
      <c r="A34" s="81"/>
      <c r="B34" s="61" t="s">
        <v>585</v>
      </c>
      <c r="C34" s="93"/>
      <c r="D34" s="96" t="s">
        <v>370</v>
      </c>
      <c r="E34" s="97">
        <v>1</v>
      </c>
      <c r="F34" s="49">
        <v>4000</v>
      </c>
      <c r="G34" s="49"/>
      <c r="H34" s="49"/>
      <c r="I34" s="49"/>
      <c r="J34" s="49"/>
      <c r="K34" s="49"/>
      <c r="L34" s="49"/>
      <c r="M34" s="49"/>
      <c r="N34" s="49"/>
      <c r="O34" s="49">
        <f t="shared" ref="O34:O44" si="15">SUM(P34:U34)</f>
        <v>1562</v>
      </c>
      <c r="P34" s="49">
        <v>262</v>
      </c>
      <c r="Q34" s="49">
        <v>300</v>
      </c>
      <c r="R34" s="49"/>
      <c r="S34" s="49"/>
      <c r="T34" s="49">
        <v>1000</v>
      </c>
      <c r="U34" s="49"/>
      <c r="V34" s="49">
        <f t="shared" si="9"/>
        <v>1562</v>
      </c>
      <c r="W34" s="138"/>
    </row>
    <row r="35" spans="1:23" s="264" customFormat="1" ht="36" customHeight="1" x14ac:dyDescent="0.2">
      <c r="A35" s="345">
        <v>8</v>
      </c>
      <c r="B35" s="513" t="s">
        <v>13</v>
      </c>
      <c r="C35" s="514"/>
      <c r="D35" s="515"/>
      <c r="E35" s="47">
        <f>SUM(E36)</f>
        <v>1</v>
      </c>
      <c r="F35" s="47">
        <f t="shared" ref="F35:V35" si="16">SUM(F36)</f>
        <v>1019</v>
      </c>
      <c r="G35" s="47">
        <f t="shared" si="16"/>
        <v>0</v>
      </c>
      <c r="H35" s="47">
        <f t="shared" si="16"/>
        <v>0</v>
      </c>
      <c r="I35" s="47">
        <f t="shared" si="16"/>
        <v>0</v>
      </c>
      <c r="J35" s="47">
        <f t="shared" si="16"/>
        <v>0</v>
      </c>
      <c r="K35" s="47">
        <f t="shared" si="16"/>
        <v>0</v>
      </c>
      <c r="L35" s="47">
        <f t="shared" si="16"/>
        <v>0</v>
      </c>
      <c r="M35" s="47">
        <f t="shared" si="16"/>
        <v>0</v>
      </c>
      <c r="N35" s="47">
        <f t="shared" si="16"/>
        <v>50</v>
      </c>
      <c r="O35" s="47">
        <f t="shared" si="16"/>
        <v>962</v>
      </c>
      <c r="P35" s="47">
        <f t="shared" si="16"/>
        <v>262</v>
      </c>
      <c r="Q35" s="47">
        <f t="shared" si="16"/>
        <v>300</v>
      </c>
      <c r="R35" s="47">
        <f t="shared" si="16"/>
        <v>0</v>
      </c>
      <c r="S35" s="47">
        <f t="shared" si="16"/>
        <v>0</v>
      </c>
      <c r="T35" s="47">
        <f t="shared" si="16"/>
        <v>400</v>
      </c>
      <c r="U35" s="47">
        <f t="shared" si="16"/>
        <v>0</v>
      </c>
      <c r="V35" s="47">
        <f t="shared" si="16"/>
        <v>1012</v>
      </c>
      <c r="W35" s="516"/>
    </row>
    <row r="36" spans="1:23" s="56" customFormat="1" ht="47.25" x14ac:dyDescent="0.2">
      <c r="A36" s="81"/>
      <c r="B36" s="61" t="s">
        <v>586</v>
      </c>
      <c r="C36" s="93"/>
      <c r="D36" s="96" t="s">
        <v>43</v>
      </c>
      <c r="E36" s="97">
        <v>1</v>
      </c>
      <c r="F36" s="49">
        <v>1019</v>
      </c>
      <c r="G36" s="49"/>
      <c r="H36" s="49"/>
      <c r="I36" s="49"/>
      <c r="J36" s="49"/>
      <c r="K36" s="49"/>
      <c r="L36" s="49"/>
      <c r="M36" s="49"/>
      <c r="N36" s="49">
        <v>50</v>
      </c>
      <c r="O36" s="49">
        <f t="shared" si="15"/>
        <v>962</v>
      </c>
      <c r="P36" s="49">
        <v>262</v>
      </c>
      <c r="Q36" s="49">
        <v>300</v>
      </c>
      <c r="R36" s="49"/>
      <c r="S36" s="49"/>
      <c r="T36" s="49">
        <v>400</v>
      </c>
      <c r="U36" s="49"/>
      <c r="V36" s="49">
        <f t="shared" si="9"/>
        <v>1012</v>
      </c>
      <c r="W36" s="138"/>
    </row>
    <row r="37" spans="1:23" s="264" customFormat="1" ht="36" customHeight="1" x14ac:dyDescent="0.2">
      <c r="A37" s="345">
        <v>9</v>
      </c>
      <c r="B37" s="513" t="s">
        <v>10</v>
      </c>
      <c r="C37" s="514"/>
      <c r="D37" s="515"/>
      <c r="E37" s="47">
        <f>SUM(E38:E39)</f>
        <v>2</v>
      </c>
      <c r="F37" s="47">
        <f t="shared" ref="F37:V37" si="17">SUM(F38:F39)</f>
        <v>17000</v>
      </c>
      <c r="G37" s="47">
        <f t="shared" si="17"/>
        <v>0</v>
      </c>
      <c r="H37" s="47">
        <f t="shared" si="17"/>
        <v>0</v>
      </c>
      <c r="I37" s="47">
        <f t="shared" si="17"/>
        <v>0</v>
      </c>
      <c r="J37" s="47">
        <f t="shared" si="17"/>
        <v>0</v>
      </c>
      <c r="K37" s="47">
        <f t="shared" si="17"/>
        <v>0</v>
      </c>
      <c r="L37" s="47">
        <f t="shared" si="17"/>
        <v>0</v>
      </c>
      <c r="M37" s="47">
        <f t="shared" si="17"/>
        <v>0</v>
      </c>
      <c r="N37" s="47">
        <f t="shared" si="17"/>
        <v>13190</v>
      </c>
      <c r="O37" s="47">
        <f t="shared" si="17"/>
        <v>1262</v>
      </c>
      <c r="P37" s="47">
        <f t="shared" si="17"/>
        <v>262</v>
      </c>
      <c r="Q37" s="47">
        <f t="shared" si="17"/>
        <v>1000</v>
      </c>
      <c r="R37" s="47">
        <f t="shared" si="17"/>
        <v>0</v>
      </c>
      <c r="S37" s="47">
        <f t="shared" si="17"/>
        <v>0</v>
      </c>
      <c r="T37" s="47">
        <f t="shared" si="17"/>
        <v>0</v>
      </c>
      <c r="U37" s="47">
        <f t="shared" si="17"/>
        <v>0</v>
      </c>
      <c r="V37" s="47">
        <f t="shared" si="17"/>
        <v>14452</v>
      </c>
      <c r="W37" s="516"/>
    </row>
    <row r="38" spans="1:23" s="56" customFormat="1" ht="31.5" x14ac:dyDescent="0.2">
      <c r="A38" s="81"/>
      <c r="B38" s="61" t="s">
        <v>597</v>
      </c>
      <c r="C38" s="93"/>
      <c r="D38" s="96" t="s">
        <v>85</v>
      </c>
      <c r="E38" s="97">
        <v>1</v>
      </c>
      <c r="F38" s="49">
        <v>15000</v>
      </c>
      <c r="G38" s="49"/>
      <c r="H38" s="49"/>
      <c r="I38" s="49"/>
      <c r="J38" s="49"/>
      <c r="K38" s="49"/>
      <c r="L38" s="49"/>
      <c r="M38" s="49"/>
      <c r="N38" s="49">
        <f>1390+10500+600</f>
        <v>12490</v>
      </c>
      <c r="O38" s="49">
        <f t="shared" ref="O38:O39" si="18">SUM(P38:U38)</f>
        <v>1000</v>
      </c>
      <c r="P38" s="49">
        <v>0</v>
      </c>
      <c r="Q38" s="49">
        <v>1000</v>
      </c>
      <c r="R38" s="49"/>
      <c r="S38" s="49"/>
      <c r="T38" s="49"/>
      <c r="U38" s="49"/>
      <c r="V38" s="49">
        <f t="shared" ref="V38:V39" si="19">N38+O38</f>
        <v>13490</v>
      </c>
      <c r="W38" s="138"/>
    </row>
    <row r="39" spans="1:23" s="56" customFormat="1" ht="47.25" x14ac:dyDescent="0.2">
      <c r="A39" s="81"/>
      <c r="B39" s="61" t="s">
        <v>600</v>
      </c>
      <c r="C39" s="93"/>
      <c r="D39" s="96" t="s">
        <v>43</v>
      </c>
      <c r="E39" s="97">
        <v>1</v>
      </c>
      <c r="F39" s="49">
        <v>2000</v>
      </c>
      <c r="G39" s="49"/>
      <c r="H39" s="49"/>
      <c r="I39" s="49"/>
      <c r="J39" s="49"/>
      <c r="K39" s="49"/>
      <c r="L39" s="49"/>
      <c r="M39" s="49"/>
      <c r="N39" s="49">
        <v>700</v>
      </c>
      <c r="O39" s="49">
        <f t="shared" si="18"/>
        <v>262</v>
      </c>
      <c r="P39" s="49">
        <v>262</v>
      </c>
      <c r="Q39" s="49"/>
      <c r="R39" s="49"/>
      <c r="S39" s="49"/>
      <c r="T39" s="49"/>
      <c r="U39" s="49"/>
      <c r="V39" s="49">
        <f t="shared" si="19"/>
        <v>962</v>
      </c>
      <c r="W39" s="138"/>
    </row>
    <row r="40" spans="1:23" s="264" customFormat="1" ht="36" customHeight="1" x14ac:dyDescent="0.2">
      <c r="A40" s="345">
        <v>10</v>
      </c>
      <c r="B40" s="513" t="s">
        <v>9</v>
      </c>
      <c r="C40" s="514"/>
      <c r="D40" s="515"/>
      <c r="E40" s="47">
        <f>SUM(E41)</f>
        <v>1</v>
      </c>
      <c r="F40" s="47">
        <f t="shared" ref="F40:V40" si="20">SUM(F41)</f>
        <v>3792</v>
      </c>
      <c r="G40" s="47">
        <f t="shared" si="20"/>
        <v>0</v>
      </c>
      <c r="H40" s="47">
        <f t="shared" si="20"/>
        <v>0</v>
      </c>
      <c r="I40" s="47">
        <f t="shared" si="20"/>
        <v>0</v>
      </c>
      <c r="J40" s="47">
        <f t="shared" si="20"/>
        <v>0</v>
      </c>
      <c r="K40" s="47">
        <f t="shared" si="20"/>
        <v>0</v>
      </c>
      <c r="L40" s="47">
        <f t="shared" si="20"/>
        <v>0</v>
      </c>
      <c r="M40" s="47">
        <f t="shared" si="20"/>
        <v>0</v>
      </c>
      <c r="N40" s="47">
        <f t="shared" si="20"/>
        <v>0</v>
      </c>
      <c r="O40" s="47">
        <f t="shared" si="20"/>
        <v>462</v>
      </c>
      <c r="P40" s="47">
        <f t="shared" si="20"/>
        <v>262</v>
      </c>
      <c r="Q40" s="47">
        <f t="shared" si="20"/>
        <v>0</v>
      </c>
      <c r="R40" s="47">
        <f t="shared" si="20"/>
        <v>0</v>
      </c>
      <c r="S40" s="47">
        <f t="shared" si="20"/>
        <v>0</v>
      </c>
      <c r="T40" s="47">
        <f t="shared" si="20"/>
        <v>200</v>
      </c>
      <c r="U40" s="47">
        <f t="shared" si="20"/>
        <v>0</v>
      </c>
      <c r="V40" s="47">
        <f t="shared" si="20"/>
        <v>462</v>
      </c>
      <c r="W40" s="516"/>
    </row>
    <row r="41" spans="1:23" s="56" customFormat="1" ht="47.25" x14ac:dyDescent="0.2">
      <c r="A41" s="81"/>
      <c r="B41" s="61" t="s">
        <v>589</v>
      </c>
      <c r="C41" s="93"/>
      <c r="D41" s="96" t="s">
        <v>47</v>
      </c>
      <c r="E41" s="97">
        <v>1</v>
      </c>
      <c r="F41" s="49">
        <v>3792</v>
      </c>
      <c r="G41" s="49"/>
      <c r="H41" s="49"/>
      <c r="I41" s="49"/>
      <c r="J41" s="49"/>
      <c r="K41" s="49"/>
      <c r="L41" s="49"/>
      <c r="M41" s="49"/>
      <c r="N41" s="49"/>
      <c r="O41" s="49">
        <f t="shared" si="15"/>
        <v>462</v>
      </c>
      <c r="P41" s="49">
        <v>262</v>
      </c>
      <c r="Q41" s="49"/>
      <c r="R41" s="49"/>
      <c r="S41" s="49"/>
      <c r="T41" s="49">
        <v>200</v>
      </c>
      <c r="U41" s="49"/>
      <c r="V41" s="49">
        <f t="shared" si="9"/>
        <v>462</v>
      </c>
      <c r="W41" s="138"/>
    </row>
    <row r="42" spans="1:23" s="264" customFormat="1" ht="36" customHeight="1" x14ac:dyDescent="0.2">
      <c r="A42" s="345">
        <v>11</v>
      </c>
      <c r="B42" s="513" t="s">
        <v>8</v>
      </c>
      <c r="C42" s="514"/>
      <c r="D42" s="515"/>
      <c r="E42" s="47">
        <f>SUM(E43:E44)</f>
        <v>2</v>
      </c>
      <c r="F42" s="47">
        <f t="shared" ref="F42:V42" si="21">SUM(F43:F44)</f>
        <v>13000</v>
      </c>
      <c r="G42" s="47">
        <f t="shared" si="21"/>
        <v>0</v>
      </c>
      <c r="H42" s="47">
        <f t="shared" si="21"/>
        <v>0</v>
      </c>
      <c r="I42" s="47">
        <f t="shared" si="21"/>
        <v>0</v>
      </c>
      <c r="J42" s="47">
        <f t="shared" si="21"/>
        <v>0</v>
      </c>
      <c r="K42" s="47">
        <f t="shared" si="21"/>
        <v>0</v>
      </c>
      <c r="L42" s="47">
        <f t="shared" si="21"/>
        <v>0</v>
      </c>
      <c r="M42" s="47">
        <f t="shared" si="21"/>
        <v>0</v>
      </c>
      <c r="N42" s="47">
        <f t="shared" si="21"/>
        <v>0</v>
      </c>
      <c r="O42" s="47">
        <f t="shared" si="21"/>
        <v>7752</v>
      </c>
      <c r="P42" s="47">
        <f t="shared" si="21"/>
        <v>3352</v>
      </c>
      <c r="Q42" s="47">
        <f t="shared" si="21"/>
        <v>0</v>
      </c>
      <c r="R42" s="47">
        <f t="shared" si="21"/>
        <v>4000</v>
      </c>
      <c r="S42" s="47">
        <f t="shared" si="21"/>
        <v>0</v>
      </c>
      <c r="T42" s="47">
        <f t="shared" si="21"/>
        <v>400</v>
      </c>
      <c r="U42" s="47">
        <f t="shared" si="21"/>
        <v>0</v>
      </c>
      <c r="V42" s="47">
        <f t="shared" si="21"/>
        <v>7752</v>
      </c>
      <c r="W42" s="516"/>
    </row>
    <row r="43" spans="1:23" s="56" customFormat="1" ht="63" x14ac:dyDescent="0.2">
      <c r="A43" s="81"/>
      <c r="B43" s="30" t="s">
        <v>315</v>
      </c>
      <c r="C43" s="93"/>
      <c r="D43" s="96" t="s">
        <v>370</v>
      </c>
      <c r="E43" s="97">
        <v>1</v>
      </c>
      <c r="F43" s="49">
        <v>10000</v>
      </c>
      <c r="G43" s="49"/>
      <c r="H43" s="49"/>
      <c r="I43" s="49"/>
      <c r="J43" s="49"/>
      <c r="K43" s="49"/>
      <c r="L43" s="49"/>
      <c r="M43" s="49"/>
      <c r="N43" s="49"/>
      <c r="O43" s="49">
        <f t="shared" si="15"/>
        <v>5552</v>
      </c>
      <c r="P43" s="49">
        <v>1352</v>
      </c>
      <c r="Q43" s="49"/>
      <c r="R43" s="49">
        <v>4000</v>
      </c>
      <c r="S43" s="49"/>
      <c r="T43" s="49">
        <v>200</v>
      </c>
      <c r="U43" s="49"/>
      <c r="V43" s="49">
        <f t="shared" si="9"/>
        <v>5552</v>
      </c>
      <c r="W43" s="138"/>
    </row>
    <row r="44" spans="1:23" s="56" customFormat="1" ht="36" customHeight="1" x14ac:dyDescent="0.2">
      <c r="A44" s="81"/>
      <c r="B44" s="61" t="s">
        <v>598</v>
      </c>
      <c r="C44" s="93"/>
      <c r="D44" s="96" t="s">
        <v>370</v>
      </c>
      <c r="E44" s="97">
        <v>1</v>
      </c>
      <c r="F44" s="49">
        <v>3000</v>
      </c>
      <c r="G44" s="49"/>
      <c r="H44" s="49"/>
      <c r="I44" s="49"/>
      <c r="J44" s="49"/>
      <c r="K44" s="49"/>
      <c r="L44" s="49"/>
      <c r="M44" s="49"/>
      <c r="N44" s="49"/>
      <c r="O44" s="49">
        <f t="shared" si="15"/>
        <v>2200</v>
      </c>
      <c r="P44" s="49">
        <v>2000</v>
      </c>
      <c r="Q44" s="49"/>
      <c r="R44" s="49"/>
      <c r="S44" s="49"/>
      <c r="T44" s="49">
        <v>200</v>
      </c>
      <c r="U44" s="49"/>
      <c r="V44" s="49">
        <f t="shared" si="9"/>
        <v>2200</v>
      </c>
      <c r="W44" s="138"/>
    </row>
    <row r="45" spans="1:23" ht="15.75" x14ac:dyDescent="0.2">
      <c r="A45" s="92">
        <v>12</v>
      </c>
      <c r="B45" s="50" t="s">
        <v>11</v>
      </c>
      <c r="C45" s="120"/>
      <c r="D45" s="121"/>
      <c r="E45" s="71">
        <f>SUM(E46:E46)</f>
        <v>1</v>
      </c>
      <c r="F45" s="71">
        <f t="shared" ref="F45:V45" si="22">SUM(F46:F46)</f>
        <v>14900</v>
      </c>
      <c r="G45" s="71">
        <f t="shared" si="22"/>
        <v>0</v>
      </c>
      <c r="H45" s="71">
        <f t="shared" si="22"/>
        <v>0</v>
      </c>
      <c r="I45" s="71">
        <f t="shared" si="22"/>
        <v>0</v>
      </c>
      <c r="J45" s="71">
        <f t="shared" si="22"/>
        <v>0</v>
      </c>
      <c r="K45" s="71">
        <f t="shared" si="22"/>
        <v>0</v>
      </c>
      <c r="L45" s="71">
        <f t="shared" si="22"/>
        <v>0</v>
      </c>
      <c r="M45" s="71">
        <f t="shared" si="22"/>
        <v>0</v>
      </c>
      <c r="N45" s="71">
        <f t="shared" si="22"/>
        <v>8900</v>
      </c>
      <c r="O45" s="71">
        <f t="shared" si="22"/>
        <v>4852</v>
      </c>
      <c r="P45" s="71">
        <f t="shared" si="22"/>
        <v>3352</v>
      </c>
      <c r="Q45" s="71">
        <f t="shared" si="22"/>
        <v>1300</v>
      </c>
      <c r="R45" s="71">
        <f t="shared" si="22"/>
        <v>0</v>
      </c>
      <c r="S45" s="71">
        <f t="shared" si="22"/>
        <v>0</v>
      </c>
      <c r="T45" s="71">
        <f t="shared" si="22"/>
        <v>200</v>
      </c>
      <c r="U45" s="71">
        <f t="shared" si="22"/>
        <v>0</v>
      </c>
      <c r="V45" s="71">
        <f t="shared" si="22"/>
        <v>13752</v>
      </c>
      <c r="W45" s="139"/>
    </row>
    <row r="46" spans="1:23" s="45" customFormat="1" ht="31.5" x14ac:dyDescent="0.25">
      <c r="A46" s="82"/>
      <c r="B46" s="52" t="s">
        <v>163</v>
      </c>
      <c r="C46" s="94"/>
      <c r="D46" s="96" t="s">
        <v>85</v>
      </c>
      <c r="E46" s="98">
        <v>1</v>
      </c>
      <c r="F46" s="84">
        <v>14900</v>
      </c>
      <c r="G46" s="84"/>
      <c r="H46" s="84"/>
      <c r="I46" s="84"/>
      <c r="J46" s="84"/>
      <c r="K46" s="84"/>
      <c r="L46" s="84"/>
      <c r="M46" s="84"/>
      <c r="N46" s="84">
        <v>8900</v>
      </c>
      <c r="O46" s="49">
        <f t="shared" ref="O46:O59" si="23">SUM(P46:U46)</f>
        <v>4852</v>
      </c>
      <c r="P46" s="83">
        <v>3352</v>
      </c>
      <c r="Q46" s="83">
        <v>1300</v>
      </c>
      <c r="R46" s="83"/>
      <c r="S46" s="85"/>
      <c r="T46" s="83">
        <v>200</v>
      </c>
      <c r="U46" s="83"/>
      <c r="V46" s="49">
        <f t="shared" si="9"/>
        <v>13752</v>
      </c>
      <c r="W46" s="140"/>
    </row>
    <row r="47" spans="1:23" ht="25.5" customHeight="1" x14ac:dyDescent="0.2">
      <c r="A47" s="92">
        <v>13</v>
      </c>
      <c r="B47" s="50" t="s">
        <v>12</v>
      </c>
      <c r="C47" s="120"/>
      <c r="D47" s="121"/>
      <c r="E47" s="71">
        <f>SUM(E48:E54)</f>
        <v>7</v>
      </c>
      <c r="F47" s="71">
        <f t="shared" ref="F47:V47" si="24">SUM(F48:F54)</f>
        <v>16467</v>
      </c>
      <c r="G47" s="71">
        <f t="shared" si="24"/>
        <v>0</v>
      </c>
      <c r="H47" s="71">
        <f t="shared" si="24"/>
        <v>0</v>
      </c>
      <c r="I47" s="71">
        <f t="shared" si="24"/>
        <v>0</v>
      </c>
      <c r="J47" s="71">
        <f t="shared" si="24"/>
        <v>0</v>
      </c>
      <c r="K47" s="71">
        <f t="shared" si="24"/>
        <v>0</v>
      </c>
      <c r="L47" s="71">
        <f t="shared" si="24"/>
        <v>0</v>
      </c>
      <c r="M47" s="71">
        <f t="shared" si="24"/>
        <v>0</v>
      </c>
      <c r="N47" s="71">
        <f t="shared" si="24"/>
        <v>0</v>
      </c>
      <c r="O47" s="71">
        <f t="shared" si="24"/>
        <v>14720</v>
      </c>
      <c r="P47" s="71">
        <f t="shared" si="24"/>
        <v>3352</v>
      </c>
      <c r="Q47" s="71">
        <f t="shared" si="24"/>
        <v>1000</v>
      </c>
      <c r="R47" s="71">
        <f t="shared" si="24"/>
        <v>0</v>
      </c>
      <c r="S47" s="71">
        <f t="shared" si="24"/>
        <v>0</v>
      </c>
      <c r="T47" s="71">
        <f t="shared" si="24"/>
        <v>1623</v>
      </c>
      <c r="U47" s="71">
        <f t="shared" si="24"/>
        <v>8745</v>
      </c>
      <c r="V47" s="71">
        <f t="shared" si="24"/>
        <v>14720</v>
      </c>
      <c r="W47" s="485"/>
    </row>
    <row r="48" spans="1:23" s="17" customFormat="1" ht="31.5" x14ac:dyDescent="0.2">
      <c r="A48" s="92"/>
      <c r="B48" s="51" t="s">
        <v>440</v>
      </c>
      <c r="C48" s="427"/>
      <c r="D48" s="486">
        <v>2024</v>
      </c>
      <c r="E48" s="487">
        <v>1</v>
      </c>
      <c r="F48" s="70">
        <v>2246</v>
      </c>
      <c r="G48" s="70"/>
      <c r="H48" s="70"/>
      <c r="I48" s="70"/>
      <c r="J48" s="70"/>
      <c r="K48" s="70"/>
      <c r="L48" s="70"/>
      <c r="M48" s="70"/>
      <c r="N48" s="70"/>
      <c r="O48" s="49">
        <f>SUM(P48:U48)</f>
        <v>2251</v>
      </c>
      <c r="P48" s="70">
        <v>560</v>
      </c>
      <c r="Q48" s="70"/>
      <c r="R48" s="70"/>
      <c r="S48" s="70"/>
      <c r="T48" s="69">
        <v>114</v>
      </c>
      <c r="U48" s="69">
        <v>1577</v>
      </c>
      <c r="V48" s="49">
        <f t="shared" si="9"/>
        <v>2251</v>
      </c>
      <c r="W48" s="485"/>
    </row>
    <row r="49" spans="1:23" s="17" customFormat="1" ht="47.25" x14ac:dyDescent="0.2">
      <c r="A49" s="92"/>
      <c r="B49" s="51" t="s">
        <v>441</v>
      </c>
      <c r="C49" s="427"/>
      <c r="D49" s="486">
        <v>2024</v>
      </c>
      <c r="E49" s="487">
        <v>1</v>
      </c>
      <c r="F49" s="70">
        <v>3018</v>
      </c>
      <c r="G49" s="70"/>
      <c r="H49" s="70"/>
      <c r="I49" s="70"/>
      <c r="J49" s="70"/>
      <c r="K49" s="70"/>
      <c r="L49" s="70"/>
      <c r="M49" s="70"/>
      <c r="N49" s="70"/>
      <c r="O49" s="49">
        <f t="shared" ref="O49:O57" si="25">SUM(P49:U49)</f>
        <v>3009</v>
      </c>
      <c r="P49" s="70">
        <v>750</v>
      </c>
      <c r="Q49" s="70"/>
      <c r="R49" s="70"/>
      <c r="S49" s="70"/>
      <c r="T49" s="69">
        <v>149</v>
      </c>
      <c r="U49" s="69">
        <v>2110</v>
      </c>
      <c r="V49" s="49">
        <f t="shared" si="9"/>
        <v>3009</v>
      </c>
      <c r="W49" s="485"/>
    </row>
    <row r="50" spans="1:23" s="17" customFormat="1" ht="31.5" x14ac:dyDescent="0.2">
      <c r="A50" s="92"/>
      <c r="B50" s="51" t="s">
        <v>442</v>
      </c>
      <c r="C50" s="427"/>
      <c r="D50" s="486">
        <v>2024</v>
      </c>
      <c r="E50" s="487">
        <v>1</v>
      </c>
      <c r="F50" s="70">
        <v>1256</v>
      </c>
      <c r="G50" s="70"/>
      <c r="H50" s="70"/>
      <c r="I50" s="70"/>
      <c r="J50" s="70"/>
      <c r="K50" s="70"/>
      <c r="L50" s="70"/>
      <c r="M50" s="70"/>
      <c r="N50" s="70"/>
      <c r="O50" s="49">
        <f t="shared" si="25"/>
        <v>1256</v>
      </c>
      <c r="P50" s="70">
        <v>310</v>
      </c>
      <c r="Q50" s="70"/>
      <c r="R50" s="70"/>
      <c r="S50" s="70"/>
      <c r="T50" s="69">
        <v>64</v>
      </c>
      <c r="U50" s="69">
        <v>882</v>
      </c>
      <c r="V50" s="49">
        <f t="shared" si="9"/>
        <v>1256</v>
      </c>
      <c r="W50" s="485"/>
    </row>
    <row r="51" spans="1:23" s="17" customFormat="1" ht="31.5" x14ac:dyDescent="0.2">
      <c r="A51" s="92"/>
      <c r="B51" s="51" t="s">
        <v>443</v>
      </c>
      <c r="C51" s="427"/>
      <c r="D51" s="486">
        <v>2024</v>
      </c>
      <c r="E51" s="487">
        <v>1</v>
      </c>
      <c r="F51" s="70">
        <v>1175</v>
      </c>
      <c r="G51" s="70"/>
      <c r="H51" s="70"/>
      <c r="I51" s="70"/>
      <c r="J51" s="70"/>
      <c r="K51" s="70"/>
      <c r="L51" s="70"/>
      <c r="M51" s="70"/>
      <c r="N51" s="70"/>
      <c r="O51" s="49">
        <f t="shared" si="25"/>
        <v>1175</v>
      </c>
      <c r="P51" s="70">
        <v>290</v>
      </c>
      <c r="Q51" s="70"/>
      <c r="R51" s="70"/>
      <c r="S51" s="70"/>
      <c r="T51" s="69">
        <v>60</v>
      </c>
      <c r="U51" s="69">
        <v>825</v>
      </c>
      <c r="V51" s="49">
        <f t="shared" si="9"/>
        <v>1175</v>
      </c>
      <c r="W51" s="485"/>
    </row>
    <row r="52" spans="1:23" s="17" customFormat="1" ht="31.5" x14ac:dyDescent="0.2">
      <c r="A52" s="92"/>
      <c r="B52" s="51" t="s">
        <v>444</v>
      </c>
      <c r="C52" s="427"/>
      <c r="D52" s="486">
        <v>2024</v>
      </c>
      <c r="E52" s="487">
        <v>1</v>
      </c>
      <c r="F52" s="70">
        <v>2644</v>
      </c>
      <c r="G52" s="70"/>
      <c r="H52" s="70"/>
      <c r="I52" s="70"/>
      <c r="J52" s="70"/>
      <c r="K52" s="70"/>
      <c r="L52" s="70"/>
      <c r="M52" s="70"/>
      <c r="N52" s="70"/>
      <c r="O52" s="49">
        <f t="shared" si="25"/>
        <v>2639</v>
      </c>
      <c r="P52" s="70">
        <v>650</v>
      </c>
      <c r="Q52" s="70"/>
      <c r="R52" s="70"/>
      <c r="S52" s="70"/>
      <c r="T52" s="69">
        <v>132</v>
      </c>
      <c r="U52" s="69">
        <v>1857</v>
      </c>
      <c r="V52" s="49">
        <f t="shared" si="9"/>
        <v>2639</v>
      </c>
      <c r="W52" s="485"/>
    </row>
    <row r="53" spans="1:23" ht="31.5" x14ac:dyDescent="0.2">
      <c r="A53" s="92"/>
      <c r="B53" s="51" t="s">
        <v>445</v>
      </c>
      <c r="C53" s="120"/>
      <c r="D53" s="486">
        <v>2024</v>
      </c>
      <c r="E53" s="488">
        <v>1</v>
      </c>
      <c r="F53" s="31">
        <v>2128</v>
      </c>
      <c r="G53" s="31"/>
      <c r="H53" s="31"/>
      <c r="I53" s="31"/>
      <c r="J53" s="31"/>
      <c r="K53" s="31"/>
      <c r="L53" s="31"/>
      <c r="M53" s="31"/>
      <c r="N53" s="31"/>
      <c r="O53" s="49">
        <f t="shared" si="25"/>
        <v>2128</v>
      </c>
      <c r="P53" s="31">
        <v>530</v>
      </c>
      <c r="Q53" s="31"/>
      <c r="R53" s="31"/>
      <c r="S53" s="31"/>
      <c r="T53" s="489">
        <v>104</v>
      </c>
      <c r="U53" s="489">
        <v>1494</v>
      </c>
      <c r="V53" s="49">
        <f t="shared" si="9"/>
        <v>2128</v>
      </c>
      <c r="W53" s="485"/>
    </row>
    <row r="54" spans="1:23" ht="63" x14ac:dyDescent="0.2">
      <c r="A54" s="92"/>
      <c r="B54" s="51" t="s">
        <v>449</v>
      </c>
      <c r="C54" s="120"/>
      <c r="D54" s="486">
        <v>2024</v>
      </c>
      <c r="E54" s="488">
        <v>1</v>
      </c>
      <c r="F54" s="31">
        <v>4000</v>
      </c>
      <c r="G54" s="31"/>
      <c r="H54" s="31"/>
      <c r="I54" s="31"/>
      <c r="J54" s="31"/>
      <c r="K54" s="31"/>
      <c r="L54" s="31"/>
      <c r="M54" s="31"/>
      <c r="N54" s="31"/>
      <c r="O54" s="49">
        <f t="shared" si="25"/>
        <v>2262</v>
      </c>
      <c r="P54" s="31">
        <v>262</v>
      </c>
      <c r="Q54" s="31">
        <v>1000</v>
      </c>
      <c r="R54" s="31"/>
      <c r="S54" s="31"/>
      <c r="T54" s="489">
        <v>1000</v>
      </c>
      <c r="U54" s="489"/>
      <c r="V54" s="49">
        <f t="shared" si="9"/>
        <v>2262</v>
      </c>
      <c r="W54" s="485"/>
    </row>
    <row r="55" spans="1:23" s="16" customFormat="1" ht="18.75" customHeight="1" x14ac:dyDescent="0.2">
      <c r="A55" s="11">
        <v>14</v>
      </c>
      <c r="B55" s="50" t="s">
        <v>1</v>
      </c>
      <c r="C55" s="120"/>
      <c r="D55" s="121"/>
      <c r="E55" s="71">
        <f>SUM(E56:E57)</f>
        <v>2</v>
      </c>
      <c r="F55" s="71">
        <f t="shared" ref="F55:V55" si="26">SUM(F56:F57)</f>
        <v>5367.0320000000002</v>
      </c>
      <c r="G55" s="71">
        <f t="shared" si="26"/>
        <v>0</v>
      </c>
      <c r="H55" s="71">
        <f t="shared" si="26"/>
        <v>0</v>
      </c>
      <c r="I55" s="71">
        <f t="shared" si="26"/>
        <v>0</v>
      </c>
      <c r="J55" s="71">
        <f t="shared" si="26"/>
        <v>0</v>
      </c>
      <c r="K55" s="71">
        <f t="shared" si="26"/>
        <v>0</v>
      </c>
      <c r="L55" s="71">
        <f t="shared" si="26"/>
        <v>0</v>
      </c>
      <c r="M55" s="71">
        <f t="shared" si="26"/>
        <v>0</v>
      </c>
      <c r="N55" s="71">
        <f t="shared" si="26"/>
        <v>0</v>
      </c>
      <c r="O55" s="71">
        <f t="shared" si="26"/>
        <v>1662</v>
      </c>
      <c r="P55" s="71">
        <f t="shared" si="26"/>
        <v>262</v>
      </c>
      <c r="Q55" s="71">
        <f t="shared" si="26"/>
        <v>400</v>
      </c>
      <c r="R55" s="71">
        <f t="shared" si="26"/>
        <v>0</v>
      </c>
      <c r="S55" s="71">
        <f t="shared" si="26"/>
        <v>0</v>
      </c>
      <c r="T55" s="71">
        <f t="shared" si="26"/>
        <v>1000</v>
      </c>
      <c r="U55" s="71">
        <f t="shared" si="26"/>
        <v>0</v>
      </c>
      <c r="V55" s="71">
        <f t="shared" si="26"/>
        <v>1662</v>
      </c>
      <c r="W55" s="523"/>
    </row>
    <row r="56" spans="1:23" ht="31.5" x14ac:dyDescent="0.2">
      <c r="A56" s="92"/>
      <c r="B56" s="51" t="s">
        <v>602</v>
      </c>
      <c r="C56" s="120"/>
      <c r="D56" s="486" t="s">
        <v>43</v>
      </c>
      <c r="E56" s="488">
        <v>1</v>
      </c>
      <c r="F56" s="31">
        <v>4533.8130000000001</v>
      </c>
      <c r="G56" s="31"/>
      <c r="H56" s="31"/>
      <c r="I56" s="31"/>
      <c r="J56" s="31"/>
      <c r="K56" s="31"/>
      <c r="L56" s="31"/>
      <c r="M56" s="31"/>
      <c r="N56" s="31"/>
      <c r="O56" s="49">
        <f t="shared" si="25"/>
        <v>900</v>
      </c>
      <c r="P56" s="31"/>
      <c r="Q56" s="31">
        <v>400</v>
      </c>
      <c r="R56" s="31"/>
      <c r="S56" s="31"/>
      <c r="T56" s="489">
        <v>500</v>
      </c>
      <c r="U56" s="489"/>
      <c r="V56" s="49">
        <f t="shared" si="9"/>
        <v>900</v>
      </c>
      <c r="W56" s="485"/>
    </row>
    <row r="57" spans="1:23" ht="47.25" x14ac:dyDescent="0.2">
      <c r="A57" s="92"/>
      <c r="B57" s="51" t="s">
        <v>603</v>
      </c>
      <c r="C57" s="120"/>
      <c r="D57" s="486" t="s">
        <v>43</v>
      </c>
      <c r="E57" s="488">
        <v>1</v>
      </c>
      <c r="F57" s="31">
        <v>833.21900000000005</v>
      </c>
      <c r="G57" s="31"/>
      <c r="H57" s="31"/>
      <c r="I57" s="31"/>
      <c r="J57" s="31"/>
      <c r="K57" s="31"/>
      <c r="L57" s="31"/>
      <c r="M57" s="31"/>
      <c r="N57" s="31"/>
      <c r="O57" s="49">
        <f t="shared" si="25"/>
        <v>762</v>
      </c>
      <c r="P57" s="31">
        <v>262</v>
      </c>
      <c r="Q57" s="31"/>
      <c r="R57" s="31"/>
      <c r="S57" s="31"/>
      <c r="T57" s="489">
        <v>500</v>
      </c>
      <c r="U57" s="489"/>
      <c r="V57" s="49">
        <f t="shared" si="9"/>
        <v>762</v>
      </c>
      <c r="W57" s="485"/>
    </row>
    <row r="58" spans="1:23" s="490" customFormat="1" ht="27" customHeight="1" x14ac:dyDescent="0.2">
      <c r="A58" s="92">
        <v>15</v>
      </c>
      <c r="B58" s="59" t="s">
        <v>0</v>
      </c>
      <c r="C58" s="120"/>
      <c r="D58" s="121"/>
      <c r="E58" s="71">
        <f>SUM(E59:E59)</f>
        <v>1</v>
      </c>
      <c r="F58" s="71">
        <f t="shared" ref="F58:V58" si="27">SUM(F59:F59)</f>
        <v>6000</v>
      </c>
      <c r="G58" s="71">
        <f t="shared" si="27"/>
        <v>0</v>
      </c>
      <c r="H58" s="71">
        <f t="shared" si="27"/>
        <v>0</v>
      </c>
      <c r="I58" s="71">
        <f t="shared" si="27"/>
        <v>0</v>
      </c>
      <c r="J58" s="71">
        <f t="shared" si="27"/>
        <v>0</v>
      </c>
      <c r="K58" s="71">
        <f t="shared" si="27"/>
        <v>0</v>
      </c>
      <c r="L58" s="71">
        <f t="shared" si="27"/>
        <v>0</v>
      </c>
      <c r="M58" s="71">
        <f t="shared" si="27"/>
        <v>0</v>
      </c>
      <c r="N58" s="71">
        <f t="shared" si="27"/>
        <v>0</v>
      </c>
      <c r="O58" s="71">
        <f t="shared" si="27"/>
        <v>4852</v>
      </c>
      <c r="P58" s="71">
        <f t="shared" si="27"/>
        <v>3352</v>
      </c>
      <c r="Q58" s="71">
        <f t="shared" si="27"/>
        <v>1000</v>
      </c>
      <c r="R58" s="71">
        <f t="shared" si="27"/>
        <v>0</v>
      </c>
      <c r="S58" s="71">
        <f t="shared" si="27"/>
        <v>0</v>
      </c>
      <c r="T58" s="71">
        <f t="shared" si="27"/>
        <v>500</v>
      </c>
      <c r="U58" s="71">
        <f t="shared" si="27"/>
        <v>0</v>
      </c>
      <c r="V58" s="71">
        <f t="shared" si="27"/>
        <v>4852</v>
      </c>
      <c r="W58" s="485"/>
    </row>
    <row r="59" spans="1:23" s="45" customFormat="1" ht="51" x14ac:dyDescent="0.25">
      <c r="A59" s="82"/>
      <c r="B59" s="491" t="s">
        <v>500</v>
      </c>
      <c r="C59" s="94"/>
      <c r="D59" s="96">
        <v>2024</v>
      </c>
      <c r="E59" s="98">
        <v>1</v>
      </c>
      <c r="F59" s="84">
        <v>6000</v>
      </c>
      <c r="G59" s="84"/>
      <c r="H59" s="84"/>
      <c r="I59" s="84"/>
      <c r="J59" s="84"/>
      <c r="K59" s="84"/>
      <c r="L59" s="84"/>
      <c r="M59" s="84"/>
      <c r="N59" s="84"/>
      <c r="O59" s="49">
        <f t="shared" si="23"/>
        <v>4852</v>
      </c>
      <c r="P59" s="85">
        <v>3352</v>
      </c>
      <c r="Q59" s="85">
        <v>1000</v>
      </c>
      <c r="R59" s="85"/>
      <c r="S59" s="85"/>
      <c r="T59" s="83">
        <v>500</v>
      </c>
      <c r="U59" s="83">
        <v>0</v>
      </c>
      <c r="V59" s="49">
        <f t="shared" si="9"/>
        <v>4852</v>
      </c>
      <c r="W59" s="138" t="s">
        <v>494</v>
      </c>
    </row>
  </sheetData>
  <autoFilter ref="A10:Z59"/>
  <mergeCells count="20">
    <mergeCell ref="T1:W1"/>
    <mergeCell ref="A2:U2"/>
    <mergeCell ref="A3:U3"/>
    <mergeCell ref="A5:A10"/>
    <mergeCell ref="B5:B10"/>
    <mergeCell ref="C5:C10"/>
    <mergeCell ref="D5:D10"/>
    <mergeCell ref="E5:E10"/>
    <mergeCell ref="F5:F10"/>
    <mergeCell ref="U7:U10"/>
    <mergeCell ref="N5:N10"/>
    <mergeCell ref="O5:U6"/>
    <mergeCell ref="T4:W4"/>
    <mergeCell ref="W5:W10"/>
    <mergeCell ref="O7:O10"/>
    <mergeCell ref="P7:P10"/>
    <mergeCell ref="Q7:Q10"/>
    <mergeCell ref="R7:R10"/>
    <mergeCell ref="T7:T10"/>
    <mergeCell ref="V5:V10"/>
  </mergeCells>
  <pageMargins left="0.43307086614173229" right="0.15748031496062992" top="0.61" bottom="0.53" header="0.48" footer="0.33"/>
  <pageSetup paperSize="9" scale="95" orientation="landscape" r:id="rId1"/>
  <headerFooter>
    <oddFooter>&amp;A&amp;RPage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8"/>
  <sheetViews>
    <sheetView zoomScale="80" zoomScaleNormal="80" workbookViewId="0">
      <pane xSplit="23" ySplit="9" topLeftCell="X25" activePane="bottomRight" state="frozen"/>
      <selection pane="topRight" activeCell="Q1" sqref="Q1"/>
      <selection pane="bottomLeft" activeCell="A10" sqref="A10"/>
      <selection pane="bottomRight" activeCell="P28" sqref="P28"/>
    </sheetView>
  </sheetViews>
  <sheetFormatPr defaultRowHeight="15.75" x14ac:dyDescent="0.25"/>
  <cols>
    <col min="1" max="1" width="5.140625" style="159" customWidth="1"/>
    <col min="2" max="2" width="35.140625" style="72" customWidth="1"/>
    <col min="3" max="3" width="3.42578125" style="72" hidden="1" customWidth="1"/>
    <col min="4" max="4" width="5.7109375" style="116" customWidth="1"/>
    <col min="5" max="5" width="5.42578125" style="72" customWidth="1"/>
    <col min="6" max="6" width="11.5703125" style="72" customWidth="1"/>
    <col min="7" max="7" width="9.5703125" style="72" hidden="1" customWidth="1"/>
    <col min="8" max="8" width="11.7109375" style="72" hidden="1" customWidth="1"/>
    <col min="9" max="9" width="5.85546875" style="72" hidden="1" customWidth="1"/>
    <col min="10" max="10" width="10.28515625" style="72" hidden="1" customWidth="1"/>
    <col min="11" max="11" width="10.28515625" style="334" hidden="1" customWidth="1"/>
    <col min="12" max="12" width="9.5703125" style="72" hidden="1" customWidth="1"/>
    <col min="13" max="13" width="9.7109375" style="72" hidden="1" customWidth="1"/>
    <col min="14" max="14" width="10.7109375" style="72" customWidth="1"/>
    <col min="15" max="15" width="11" style="72" customWidth="1"/>
    <col min="16" max="17" width="9.7109375" style="72" customWidth="1"/>
    <col min="18" max="18" width="9.7109375" style="90" customWidth="1"/>
    <col min="19" max="19" width="9.7109375" style="72" hidden="1" customWidth="1"/>
    <col min="20" max="21" width="9.7109375" style="72" customWidth="1"/>
    <col min="22" max="22" width="11.7109375" style="72" customWidth="1"/>
    <col min="23" max="23" width="16.42578125" style="72" customWidth="1"/>
    <col min="24" max="24" width="16.140625" style="72" customWidth="1"/>
    <col min="25" max="25" width="15.85546875" style="72" customWidth="1"/>
    <col min="26" max="16384" width="9.140625" style="72"/>
  </cols>
  <sheetData>
    <row r="1" spans="1:25" ht="20.25" customHeight="1" x14ac:dyDescent="0.25">
      <c r="L1" s="682" t="s">
        <v>351</v>
      </c>
      <c r="M1" s="682"/>
      <c r="N1" s="682"/>
      <c r="O1" s="682"/>
      <c r="P1" s="682"/>
      <c r="Q1" s="682"/>
      <c r="R1" s="682"/>
      <c r="S1" s="682"/>
      <c r="T1" s="682"/>
      <c r="U1" s="682"/>
      <c r="V1" s="682"/>
      <c r="W1" s="682"/>
    </row>
    <row r="2" spans="1:25" s="5" customFormat="1" ht="29.25" customHeight="1" x14ac:dyDescent="0.2">
      <c r="A2" s="659" t="s">
        <v>456</v>
      </c>
      <c r="B2" s="659"/>
      <c r="C2" s="659"/>
      <c r="D2" s="659"/>
      <c r="E2" s="659"/>
      <c r="F2" s="659"/>
      <c r="G2" s="659"/>
      <c r="H2" s="659"/>
      <c r="I2" s="659"/>
      <c r="J2" s="659"/>
      <c r="K2" s="659"/>
      <c r="L2" s="659"/>
      <c r="M2" s="659"/>
      <c r="N2" s="659"/>
      <c r="O2" s="659"/>
      <c r="P2" s="659"/>
      <c r="Q2" s="659"/>
      <c r="R2" s="659"/>
      <c r="S2" s="659"/>
      <c r="T2" s="659"/>
      <c r="U2" s="659"/>
      <c r="V2" s="659"/>
      <c r="W2" s="659"/>
    </row>
    <row r="3" spans="1:25" s="5" customFormat="1" ht="16.5" customHeight="1" x14ac:dyDescent="0.2">
      <c r="A3" s="660" t="str">
        <f>'Tổng hợp KHV 2024'!A3:W3</f>
        <v>(Kèm theo Kế hoạch số ……./KH-UBND ngày ……./……/2023 của UBND huyện Tân Yên)</v>
      </c>
      <c r="B3" s="660"/>
      <c r="C3" s="660"/>
      <c r="D3" s="660"/>
      <c r="E3" s="660"/>
      <c r="F3" s="660"/>
      <c r="G3" s="660"/>
      <c r="H3" s="660"/>
      <c r="I3" s="660"/>
      <c r="J3" s="660"/>
      <c r="K3" s="660"/>
      <c r="L3" s="660"/>
      <c r="M3" s="660"/>
      <c r="N3" s="660"/>
      <c r="O3" s="660"/>
      <c r="P3" s="660"/>
      <c r="Q3" s="660"/>
      <c r="R3" s="660"/>
      <c r="S3" s="660"/>
      <c r="T3" s="660"/>
      <c r="U3" s="660"/>
      <c r="V3" s="660"/>
      <c r="W3" s="660"/>
    </row>
    <row r="4" spans="1:25" s="4" customFormat="1" x14ac:dyDescent="0.2">
      <c r="A4" s="661" t="s">
        <v>36</v>
      </c>
      <c r="B4" s="661"/>
      <c r="C4" s="661"/>
      <c r="D4" s="661"/>
      <c r="E4" s="661"/>
      <c r="F4" s="661"/>
      <c r="G4" s="661"/>
      <c r="H4" s="661"/>
      <c r="I4" s="661"/>
      <c r="J4" s="661"/>
      <c r="K4" s="661"/>
      <c r="L4" s="661"/>
      <c r="M4" s="661"/>
      <c r="N4" s="661"/>
      <c r="O4" s="661"/>
      <c r="P4" s="661"/>
      <c r="Q4" s="661"/>
      <c r="R4" s="661"/>
      <c r="S4" s="661"/>
      <c r="T4" s="661"/>
      <c r="U4" s="661"/>
      <c r="V4" s="661"/>
      <c r="W4" s="661"/>
    </row>
    <row r="5" spans="1:25" s="335" customFormat="1" ht="12.75" customHeight="1" x14ac:dyDescent="0.2">
      <c r="A5" s="663" t="s">
        <v>35</v>
      </c>
      <c r="B5" s="645" t="s">
        <v>34</v>
      </c>
      <c r="C5" s="663" t="s">
        <v>152</v>
      </c>
      <c r="D5" s="683" t="s">
        <v>33</v>
      </c>
      <c r="E5" s="645" t="s">
        <v>32</v>
      </c>
      <c r="F5" s="645" t="s">
        <v>31</v>
      </c>
      <c r="G5" s="666" t="s">
        <v>63</v>
      </c>
      <c r="H5" s="662" t="s">
        <v>122</v>
      </c>
      <c r="I5" s="662"/>
      <c r="J5" s="662"/>
      <c r="K5" s="662"/>
      <c r="L5" s="662"/>
      <c r="M5" s="662"/>
      <c r="N5" s="645" t="s">
        <v>231</v>
      </c>
      <c r="O5" s="651" t="s">
        <v>145</v>
      </c>
      <c r="P5" s="652"/>
      <c r="Q5" s="652"/>
      <c r="R5" s="652"/>
      <c r="S5" s="652"/>
      <c r="T5" s="652"/>
      <c r="U5" s="653"/>
      <c r="V5" s="645" t="s">
        <v>141</v>
      </c>
      <c r="W5" s="645" t="s">
        <v>30</v>
      </c>
    </row>
    <row r="6" spans="1:25" s="336" customFormat="1" ht="12.75" customHeight="1" x14ac:dyDescent="0.2">
      <c r="A6" s="664"/>
      <c r="B6" s="646"/>
      <c r="C6" s="664"/>
      <c r="D6" s="684"/>
      <c r="E6" s="646"/>
      <c r="F6" s="646"/>
      <c r="G6" s="667"/>
      <c r="H6" s="662"/>
      <c r="I6" s="662"/>
      <c r="J6" s="662"/>
      <c r="K6" s="662"/>
      <c r="L6" s="662"/>
      <c r="M6" s="662"/>
      <c r="N6" s="646"/>
      <c r="O6" s="654"/>
      <c r="P6" s="655"/>
      <c r="Q6" s="655"/>
      <c r="R6" s="655"/>
      <c r="S6" s="655"/>
      <c r="T6" s="655"/>
      <c r="U6" s="656"/>
      <c r="V6" s="646"/>
      <c r="W6" s="646"/>
    </row>
    <row r="7" spans="1:25" s="336" customFormat="1" ht="12.75" customHeight="1" x14ac:dyDescent="0.2">
      <c r="A7" s="664"/>
      <c r="B7" s="646"/>
      <c r="C7" s="664"/>
      <c r="D7" s="684"/>
      <c r="E7" s="646"/>
      <c r="F7" s="646"/>
      <c r="G7" s="667"/>
      <c r="H7" s="645" t="s">
        <v>29</v>
      </c>
      <c r="I7" s="645" t="s">
        <v>28</v>
      </c>
      <c r="J7" s="645" t="s">
        <v>27</v>
      </c>
      <c r="K7" s="686" t="s">
        <v>26</v>
      </c>
      <c r="L7" s="648" t="s">
        <v>25</v>
      </c>
      <c r="M7" s="645" t="s">
        <v>24</v>
      </c>
      <c r="N7" s="646"/>
      <c r="O7" s="645" t="s">
        <v>146</v>
      </c>
      <c r="P7" s="651" t="s">
        <v>40</v>
      </c>
      <c r="Q7" s="652"/>
      <c r="R7" s="652"/>
      <c r="S7" s="652"/>
      <c r="T7" s="652"/>
      <c r="U7" s="653"/>
      <c r="V7" s="646"/>
      <c r="W7" s="646"/>
    </row>
    <row r="8" spans="1:25" s="336" customFormat="1" ht="12.75" customHeight="1" x14ac:dyDescent="0.2">
      <c r="A8" s="664"/>
      <c r="B8" s="646"/>
      <c r="C8" s="664"/>
      <c r="D8" s="684"/>
      <c r="E8" s="646"/>
      <c r="F8" s="646"/>
      <c r="G8" s="667"/>
      <c r="H8" s="646"/>
      <c r="I8" s="646"/>
      <c r="J8" s="646"/>
      <c r="K8" s="687"/>
      <c r="L8" s="649"/>
      <c r="M8" s="646"/>
      <c r="N8" s="646"/>
      <c r="O8" s="646"/>
      <c r="P8" s="654"/>
      <c r="Q8" s="655"/>
      <c r="R8" s="655"/>
      <c r="S8" s="655"/>
      <c r="T8" s="655"/>
      <c r="U8" s="656"/>
      <c r="V8" s="646"/>
      <c r="W8" s="646"/>
    </row>
    <row r="9" spans="1:25" s="336" customFormat="1" ht="52.5" customHeight="1" x14ac:dyDescent="0.2">
      <c r="A9" s="665"/>
      <c r="B9" s="646"/>
      <c r="C9" s="665"/>
      <c r="D9" s="685"/>
      <c r="E9" s="647"/>
      <c r="F9" s="647"/>
      <c r="G9" s="668"/>
      <c r="H9" s="647"/>
      <c r="I9" s="647"/>
      <c r="J9" s="647"/>
      <c r="K9" s="688"/>
      <c r="L9" s="650"/>
      <c r="M9" s="647"/>
      <c r="N9" s="647"/>
      <c r="O9" s="647"/>
      <c r="P9" s="386" t="s">
        <v>147</v>
      </c>
      <c r="Q9" s="386" t="s">
        <v>148</v>
      </c>
      <c r="R9" s="400" t="s">
        <v>149</v>
      </c>
      <c r="S9" s="386"/>
      <c r="T9" s="386" t="s">
        <v>150</v>
      </c>
      <c r="U9" s="387" t="s">
        <v>151</v>
      </c>
      <c r="V9" s="647"/>
      <c r="W9" s="647"/>
    </row>
    <row r="10" spans="1:25" s="336" customFormat="1" ht="11.25" customHeight="1" x14ac:dyDescent="0.2">
      <c r="A10" s="399">
        <v>1</v>
      </c>
      <c r="B10" s="399">
        <v>2</v>
      </c>
      <c r="C10" s="399">
        <v>3</v>
      </c>
      <c r="D10" s="394">
        <v>4</v>
      </c>
      <c r="E10" s="399">
        <v>5</v>
      </c>
      <c r="F10" s="399">
        <v>6</v>
      </c>
      <c r="G10" s="399">
        <v>7</v>
      </c>
      <c r="H10" s="399">
        <v>8</v>
      </c>
      <c r="I10" s="399">
        <v>9</v>
      </c>
      <c r="J10" s="399">
        <v>10</v>
      </c>
      <c r="K10" s="399">
        <v>11</v>
      </c>
      <c r="L10" s="399">
        <v>12</v>
      </c>
      <c r="M10" s="399">
        <v>13</v>
      </c>
      <c r="N10" s="399">
        <v>14</v>
      </c>
      <c r="O10" s="399">
        <v>15</v>
      </c>
      <c r="P10" s="399">
        <v>16</v>
      </c>
      <c r="Q10" s="399">
        <v>17</v>
      </c>
      <c r="R10" s="399">
        <v>18</v>
      </c>
      <c r="S10" s="399"/>
      <c r="T10" s="399">
        <v>19</v>
      </c>
      <c r="U10" s="399">
        <v>20</v>
      </c>
      <c r="V10" s="399">
        <v>21</v>
      </c>
      <c r="W10" s="399">
        <v>22</v>
      </c>
    </row>
    <row r="11" spans="1:25" s="159" customFormat="1" ht="31.5" customHeight="1" x14ac:dyDescent="0.25">
      <c r="A11" s="11"/>
      <c r="B11" s="14" t="s">
        <v>41</v>
      </c>
      <c r="C11" s="15"/>
      <c r="D11" s="423"/>
      <c r="E11" s="76">
        <f>E13+E15+E17+E19+E22+E24+E26</f>
        <v>8</v>
      </c>
      <c r="F11" s="76">
        <f t="shared" ref="F11:V11" si="0">F13+F15+F17+F19+F22+F24+F26</f>
        <v>42774.087</v>
      </c>
      <c r="G11" s="76">
        <f t="shared" si="0"/>
        <v>0</v>
      </c>
      <c r="H11" s="76">
        <f t="shared" si="0"/>
        <v>18600</v>
      </c>
      <c r="I11" s="76">
        <f t="shared" si="0"/>
        <v>0</v>
      </c>
      <c r="J11" s="76">
        <f t="shared" si="0"/>
        <v>3200</v>
      </c>
      <c r="K11" s="76">
        <f t="shared" si="0"/>
        <v>5000</v>
      </c>
      <c r="L11" s="76">
        <f t="shared" si="0"/>
        <v>4300</v>
      </c>
      <c r="M11" s="76">
        <f t="shared" si="0"/>
        <v>6100</v>
      </c>
      <c r="N11" s="76">
        <f t="shared" si="0"/>
        <v>3600</v>
      </c>
      <c r="O11" s="76">
        <f t="shared" si="0"/>
        <v>22060</v>
      </c>
      <c r="P11" s="76">
        <f t="shared" si="0"/>
        <v>0</v>
      </c>
      <c r="Q11" s="76">
        <f t="shared" si="0"/>
        <v>5100</v>
      </c>
      <c r="R11" s="76">
        <f t="shared" si="0"/>
        <v>14560</v>
      </c>
      <c r="S11" s="76">
        <f t="shared" si="0"/>
        <v>0</v>
      </c>
      <c r="T11" s="76">
        <f t="shared" si="0"/>
        <v>2400</v>
      </c>
      <c r="U11" s="76">
        <f t="shared" si="0"/>
        <v>0</v>
      </c>
      <c r="V11" s="76">
        <f t="shared" si="0"/>
        <v>25660</v>
      </c>
      <c r="W11" s="76"/>
    </row>
    <row r="12" spans="1:25" s="159" customFormat="1" ht="31.5" customHeight="1" x14ac:dyDescent="0.25">
      <c r="A12" s="11"/>
      <c r="B12" s="14" t="s">
        <v>58</v>
      </c>
      <c r="C12" s="15"/>
      <c r="D12" s="423"/>
      <c r="E12" s="76"/>
      <c r="F12" s="76"/>
      <c r="G12" s="76"/>
      <c r="H12" s="76"/>
      <c r="I12" s="76"/>
      <c r="J12" s="76"/>
      <c r="K12" s="76"/>
      <c r="L12" s="76"/>
      <c r="M12" s="76"/>
      <c r="N12" s="76"/>
      <c r="O12" s="76"/>
      <c r="P12" s="76"/>
      <c r="Q12" s="76"/>
      <c r="R12" s="76"/>
      <c r="S12" s="76"/>
      <c r="T12" s="76"/>
      <c r="U12" s="76"/>
      <c r="V12" s="76"/>
      <c r="W12" s="76"/>
    </row>
    <row r="13" spans="1:25" s="159" customFormat="1" ht="19.5" customHeight="1" x14ac:dyDescent="0.25">
      <c r="A13" s="11" t="s">
        <v>76</v>
      </c>
      <c r="B13" s="14" t="s">
        <v>22</v>
      </c>
      <c r="C13" s="15"/>
      <c r="D13" s="423"/>
      <c r="E13" s="76">
        <f>+E14</f>
        <v>1</v>
      </c>
      <c r="F13" s="76">
        <f t="shared" ref="F13:V13" si="1">+F14</f>
        <v>6860</v>
      </c>
      <c r="G13" s="76">
        <f t="shared" si="1"/>
        <v>0</v>
      </c>
      <c r="H13" s="76">
        <f t="shared" si="1"/>
        <v>3000</v>
      </c>
      <c r="I13" s="76">
        <f t="shared" si="1"/>
        <v>0</v>
      </c>
      <c r="J13" s="76">
        <f t="shared" si="1"/>
        <v>1000</v>
      </c>
      <c r="K13" s="76">
        <f t="shared" si="1"/>
        <v>1000</v>
      </c>
      <c r="L13" s="76">
        <f t="shared" si="1"/>
        <v>1000</v>
      </c>
      <c r="M13" s="76">
        <f t="shared" si="1"/>
        <v>0</v>
      </c>
      <c r="N13" s="76">
        <f t="shared" si="1"/>
        <v>0</v>
      </c>
      <c r="O13" s="76">
        <f t="shared" si="1"/>
        <v>6360</v>
      </c>
      <c r="P13" s="76">
        <f t="shared" si="1"/>
        <v>0</v>
      </c>
      <c r="Q13" s="76">
        <f t="shared" si="1"/>
        <v>2400</v>
      </c>
      <c r="R13" s="76">
        <f t="shared" si="1"/>
        <v>3460</v>
      </c>
      <c r="S13" s="76">
        <f t="shared" si="1"/>
        <v>0</v>
      </c>
      <c r="T13" s="76">
        <f t="shared" si="1"/>
        <v>500</v>
      </c>
      <c r="U13" s="76">
        <f t="shared" si="1"/>
        <v>0</v>
      </c>
      <c r="V13" s="76">
        <f t="shared" si="1"/>
        <v>6360</v>
      </c>
      <c r="W13" s="343"/>
      <c r="X13" s="160"/>
    </row>
    <row r="14" spans="1:25" s="90" customFormat="1" ht="33.75" customHeight="1" x14ac:dyDescent="0.2">
      <c r="A14" s="345">
        <v>1</v>
      </c>
      <c r="B14" s="79" t="s">
        <v>368</v>
      </c>
      <c r="C14" s="80"/>
      <c r="D14" s="424" t="s">
        <v>367</v>
      </c>
      <c r="E14" s="49">
        <v>1</v>
      </c>
      <c r="F14" s="49">
        <v>6860</v>
      </c>
      <c r="G14" s="49"/>
      <c r="H14" s="31">
        <f t="shared" ref="H14" si="2">SUM(I14:M14)</f>
        <v>3000</v>
      </c>
      <c r="I14" s="49"/>
      <c r="J14" s="49">
        <v>1000</v>
      </c>
      <c r="K14" s="49">
        <v>1000</v>
      </c>
      <c r="L14" s="49">
        <v>1000</v>
      </c>
      <c r="M14" s="49"/>
      <c r="N14" s="76">
        <f>1060-1060</f>
        <v>0</v>
      </c>
      <c r="O14" s="76">
        <f>SUM(P14:U14)</f>
        <v>6360</v>
      </c>
      <c r="P14" s="49"/>
      <c r="Q14" s="49">
        <v>2400</v>
      </c>
      <c r="R14" s="49">
        <f>2400+1060</f>
        <v>3460</v>
      </c>
      <c r="S14" s="49"/>
      <c r="T14" s="49">
        <v>500</v>
      </c>
      <c r="U14" s="49">
        <v>0</v>
      </c>
      <c r="V14" s="76">
        <f>N14+O14</f>
        <v>6360</v>
      </c>
      <c r="W14" s="347" t="s">
        <v>451</v>
      </c>
      <c r="X14" s="348">
        <f t="shared" ref="X14" si="3">+F14*70%</f>
        <v>4802</v>
      </c>
      <c r="Y14" s="348">
        <f>R14+1060</f>
        <v>4520</v>
      </c>
    </row>
    <row r="15" spans="1:25" ht="19.5" customHeight="1" x14ac:dyDescent="0.2">
      <c r="A15" s="11" t="s">
        <v>74</v>
      </c>
      <c r="B15" s="59" t="s">
        <v>17</v>
      </c>
      <c r="C15" s="12"/>
      <c r="D15" s="120"/>
      <c r="E15" s="71">
        <f>SUM(E16)</f>
        <v>1</v>
      </c>
      <c r="F15" s="71">
        <f t="shared" ref="F15:V15" si="4">SUM(F16)</f>
        <v>14465.736999999999</v>
      </c>
      <c r="G15" s="71">
        <f t="shared" si="4"/>
        <v>0</v>
      </c>
      <c r="H15" s="71">
        <f t="shared" si="4"/>
        <v>3100</v>
      </c>
      <c r="I15" s="71">
        <f t="shared" si="4"/>
        <v>0</v>
      </c>
      <c r="J15" s="71">
        <f t="shared" si="4"/>
        <v>2200</v>
      </c>
      <c r="K15" s="71">
        <f t="shared" si="4"/>
        <v>0</v>
      </c>
      <c r="L15" s="71">
        <f t="shared" si="4"/>
        <v>800</v>
      </c>
      <c r="M15" s="71">
        <f t="shared" si="4"/>
        <v>100</v>
      </c>
      <c r="N15" s="71">
        <f t="shared" si="4"/>
        <v>500</v>
      </c>
      <c r="O15" s="71">
        <f t="shared" si="4"/>
        <v>3400</v>
      </c>
      <c r="P15" s="71">
        <f t="shared" si="4"/>
        <v>0</v>
      </c>
      <c r="Q15" s="71">
        <f t="shared" si="4"/>
        <v>0</v>
      </c>
      <c r="R15" s="71">
        <f t="shared" si="4"/>
        <v>3200</v>
      </c>
      <c r="S15" s="71">
        <f t="shared" si="4"/>
        <v>0</v>
      </c>
      <c r="T15" s="71">
        <f t="shared" si="4"/>
        <v>200</v>
      </c>
      <c r="U15" s="71">
        <f t="shared" si="4"/>
        <v>0</v>
      </c>
      <c r="V15" s="71">
        <f t="shared" si="4"/>
        <v>3900</v>
      </c>
      <c r="W15" s="339"/>
      <c r="X15" s="344">
        <f>+F15*70%</f>
        <v>10126.015899999999</v>
      </c>
      <c r="Y15" s="72">
        <v>5000</v>
      </c>
    </row>
    <row r="16" spans="1:25" ht="37.5" customHeight="1" x14ac:dyDescent="0.2">
      <c r="A16" s="11">
        <v>1</v>
      </c>
      <c r="B16" s="58" t="s">
        <v>158</v>
      </c>
      <c r="C16" s="12"/>
      <c r="D16" s="425" t="s">
        <v>367</v>
      </c>
      <c r="E16" s="409">
        <v>1</v>
      </c>
      <c r="F16" s="27">
        <v>14465.736999999999</v>
      </c>
      <c r="G16" s="27">
        <v>0</v>
      </c>
      <c r="H16" s="31">
        <f t="shared" ref="H16" si="5">SUM(I16:M16)</f>
        <v>3100</v>
      </c>
      <c r="I16" s="27"/>
      <c r="J16" s="27">
        <v>2200</v>
      </c>
      <c r="K16" s="27">
        <v>0</v>
      </c>
      <c r="L16" s="27">
        <v>800</v>
      </c>
      <c r="M16" s="27">
        <v>100</v>
      </c>
      <c r="N16" s="76">
        <v>500</v>
      </c>
      <c r="O16" s="76">
        <f>SUM(P16:U16)</f>
        <v>3400</v>
      </c>
      <c r="P16" s="27"/>
      <c r="Q16" s="27"/>
      <c r="R16" s="27">
        <v>3200</v>
      </c>
      <c r="S16" s="27"/>
      <c r="T16" s="27">
        <v>200</v>
      </c>
      <c r="U16" s="27"/>
      <c r="V16" s="76">
        <f>N16+O16</f>
        <v>3900</v>
      </c>
      <c r="W16" s="353" t="s">
        <v>452</v>
      </c>
      <c r="X16" s="344">
        <f>F16-G16-J16-L16</f>
        <v>11465.736999999999</v>
      </c>
    </row>
    <row r="17" spans="1:25" ht="22.5" customHeight="1" x14ac:dyDescent="0.2">
      <c r="A17" s="11" t="s">
        <v>75</v>
      </c>
      <c r="B17" s="50" t="s">
        <v>9</v>
      </c>
      <c r="C17" s="12"/>
      <c r="D17" s="120"/>
      <c r="E17" s="71">
        <f>+E18</f>
        <v>1</v>
      </c>
      <c r="F17" s="71">
        <f t="shared" ref="F17:V17" si="6">+F18</f>
        <v>3463</v>
      </c>
      <c r="G17" s="71">
        <f t="shared" si="6"/>
        <v>0</v>
      </c>
      <c r="H17" s="71">
        <f t="shared" si="6"/>
        <v>4500</v>
      </c>
      <c r="I17" s="71">
        <f t="shared" si="6"/>
        <v>0</v>
      </c>
      <c r="J17" s="71">
        <f t="shared" si="6"/>
        <v>0</v>
      </c>
      <c r="K17" s="71">
        <f t="shared" si="6"/>
        <v>0</v>
      </c>
      <c r="L17" s="71">
        <f t="shared" si="6"/>
        <v>500</v>
      </c>
      <c r="M17" s="71">
        <f t="shared" si="6"/>
        <v>4000</v>
      </c>
      <c r="N17" s="71">
        <f t="shared" si="6"/>
        <v>2100</v>
      </c>
      <c r="O17" s="71">
        <f t="shared" si="6"/>
        <v>1200</v>
      </c>
      <c r="P17" s="71">
        <f t="shared" si="6"/>
        <v>0</v>
      </c>
      <c r="Q17" s="71">
        <f t="shared" si="6"/>
        <v>0</v>
      </c>
      <c r="R17" s="71">
        <f t="shared" si="6"/>
        <v>1100</v>
      </c>
      <c r="S17" s="71">
        <f t="shared" si="6"/>
        <v>0</v>
      </c>
      <c r="T17" s="71">
        <f t="shared" si="6"/>
        <v>100</v>
      </c>
      <c r="U17" s="71">
        <f t="shared" si="6"/>
        <v>0</v>
      </c>
      <c r="V17" s="71">
        <f t="shared" si="6"/>
        <v>3300</v>
      </c>
      <c r="W17" s="339"/>
      <c r="X17" s="344">
        <f t="shared" ref="X17" si="7">+F17*70%</f>
        <v>2424.1</v>
      </c>
    </row>
    <row r="18" spans="1:25" ht="62.25" customHeight="1" x14ac:dyDescent="0.2">
      <c r="A18" s="11">
        <v>1</v>
      </c>
      <c r="B18" s="51" t="s">
        <v>372</v>
      </c>
      <c r="C18" s="22"/>
      <c r="D18" s="426" t="s">
        <v>367</v>
      </c>
      <c r="E18" s="70">
        <v>1</v>
      </c>
      <c r="F18" s="70">
        <v>3463</v>
      </c>
      <c r="G18" s="70"/>
      <c r="H18" s="31">
        <f t="shared" ref="H18" si="8">SUM(I18:M18)</f>
        <v>4500</v>
      </c>
      <c r="I18" s="70"/>
      <c r="J18" s="70"/>
      <c r="K18" s="70"/>
      <c r="L18" s="70">
        <v>500</v>
      </c>
      <c r="M18" s="70">
        <v>4000</v>
      </c>
      <c r="N18" s="76">
        <v>2100</v>
      </c>
      <c r="O18" s="76">
        <f t="shared" ref="O18" si="9">SUM(P18:U18)</f>
        <v>1200</v>
      </c>
      <c r="P18" s="70"/>
      <c r="Q18" s="70"/>
      <c r="R18" s="73">
        <v>1100</v>
      </c>
      <c r="S18" s="70"/>
      <c r="T18" s="70">
        <v>100</v>
      </c>
      <c r="U18" s="70"/>
      <c r="V18" s="76">
        <f>N18+O18</f>
        <v>3300</v>
      </c>
      <c r="W18" s="410" t="s">
        <v>369</v>
      </c>
      <c r="X18" s="344"/>
      <c r="Y18" s="72">
        <f>1060+800</f>
        <v>1860</v>
      </c>
    </row>
    <row r="19" spans="1:25" s="167" customFormat="1" ht="22.5" customHeight="1" x14ac:dyDescent="0.25">
      <c r="A19" s="11" t="s">
        <v>100</v>
      </c>
      <c r="B19" s="59" t="s">
        <v>0</v>
      </c>
      <c r="C19" s="12"/>
      <c r="D19" s="120"/>
      <c r="E19" s="71">
        <f>SUM(E20)</f>
        <v>1</v>
      </c>
      <c r="F19" s="71">
        <f t="shared" ref="F19:V19" si="10">SUM(F20)</f>
        <v>5695</v>
      </c>
      <c r="G19" s="71">
        <f t="shared" si="10"/>
        <v>0</v>
      </c>
      <c r="H19" s="71">
        <f t="shared" si="10"/>
        <v>8000</v>
      </c>
      <c r="I19" s="71">
        <f t="shared" si="10"/>
        <v>0</v>
      </c>
      <c r="J19" s="71">
        <f t="shared" si="10"/>
        <v>0</v>
      </c>
      <c r="K19" s="71">
        <f t="shared" si="10"/>
        <v>4000</v>
      </c>
      <c r="L19" s="71">
        <f t="shared" si="10"/>
        <v>2000</v>
      </c>
      <c r="M19" s="71">
        <f t="shared" si="10"/>
        <v>2000</v>
      </c>
      <c r="N19" s="71">
        <f t="shared" si="10"/>
        <v>1000</v>
      </c>
      <c r="O19" s="71">
        <f t="shared" si="10"/>
        <v>3300</v>
      </c>
      <c r="P19" s="71">
        <f t="shared" si="10"/>
        <v>0</v>
      </c>
      <c r="Q19" s="71">
        <f t="shared" si="10"/>
        <v>0</v>
      </c>
      <c r="R19" s="71">
        <f t="shared" si="10"/>
        <v>2400</v>
      </c>
      <c r="S19" s="71">
        <f t="shared" si="10"/>
        <v>0</v>
      </c>
      <c r="T19" s="71">
        <f t="shared" si="10"/>
        <v>900</v>
      </c>
      <c r="U19" s="71">
        <f t="shared" si="10"/>
        <v>0</v>
      </c>
      <c r="V19" s="71">
        <f t="shared" si="10"/>
        <v>4300</v>
      </c>
      <c r="W19" s="339"/>
      <c r="X19" s="344">
        <f>+F19*70%</f>
        <v>3986.4999999999995</v>
      </c>
    </row>
    <row r="20" spans="1:25" ht="31.5" x14ac:dyDescent="0.2">
      <c r="A20" s="11">
        <v>1</v>
      </c>
      <c r="B20" s="411" t="s">
        <v>166</v>
      </c>
      <c r="C20" s="22"/>
      <c r="D20" s="427">
        <v>2023</v>
      </c>
      <c r="E20" s="70">
        <v>1</v>
      </c>
      <c r="F20" s="70">
        <v>5695</v>
      </c>
      <c r="G20" s="70"/>
      <c r="H20" s="31">
        <f t="shared" ref="H20" si="11">SUM(I20:M20)</f>
        <v>8000</v>
      </c>
      <c r="I20" s="70"/>
      <c r="J20" s="70"/>
      <c r="K20" s="70">
        <v>4000</v>
      </c>
      <c r="L20" s="70">
        <v>2000</v>
      </c>
      <c r="M20" s="70">
        <v>2000</v>
      </c>
      <c r="N20" s="76">
        <v>1000</v>
      </c>
      <c r="O20" s="76">
        <f>SUM(P20:U20)</f>
        <v>3300</v>
      </c>
      <c r="P20" s="70"/>
      <c r="Q20" s="70"/>
      <c r="R20" s="73">
        <v>2400</v>
      </c>
      <c r="S20" s="70"/>
      <c r="T20" s="70">
        <v>900</v>
      </c>
      <c r="U20" s="70"/>
      <c r="V20" s="76">
        <f>N20+O20</f>
        <v>4300</v>
      </c>
      <c r="W20" s="353" t="s">
        <v>453</v>
      </c>
      <c r="X20" s="72">
        <f>2600+3090</f>
        <v>5690</v>
      </c>
    </row>
    <row r="21" spans="1:25" s="159" customFormat="1" ht="26.25" customHeight="1" x14ac:dyDescent="0.25">
      <c r="A21" s="11"/>
      <c r="B21" s="59" t="s">
        <v>49</v>
      </c>
      <c r="C21" s="12"/>
      <c r="D21" s="120"/>
      <c r="E21" s="71"/>
      <c r="F21" s="71"/>
      <c r="G21" s="71"/>
      <c r="H21" s="76"/>
      <c r="I21" s="71"/>
      <c r="J21" s="71"/>
      <c r="K21" s="71"/>
      <c r="L21" s="71"/>
      <c r="M21" s="71"/>
      <c r="N21" s="76"/>
      <c r="O21" s="76"/>
      <c r="P21" s="71"/>
      <c r="Q21" s="71"/>
      <c r="R21" s="77"/>
      <c r="S21" s="71"/>
      <c r="T21" s="71"/>
      <c r="U21" s="71"/>
      <c r="V21" s="76"/>
      <c r="W21" s="339"/>
    </row>
    <row r="22" spans="1:25" s="167" customFormat="1" ht="22.5" customHeight="1" x14ac:dyDescent="0.25">
      <c r="A22" s="11" t="s">
        <v>101</v>
      </c>
      <c r="B22" s="59" t="s">
        <v>5</v>
      </c>
      <c r="C22" s="12"/>
      <c r="D22" s="120"/>
      <c r="E22" s="71">
        <f>SUM(E23)</f>
        <v>1</v>
      </c>
      <c r="F22" s="71">
        <f t="shared" ref="F22:V22" si="12">SUM(F23)</f>
        <v>4690.3500000000004</v>
      </c>
      <c r="G22" s="71">
        <f t="shared" si="12"/>
        <v>0</v>
      </c>
      <c r="H22" s="71">
        <f t="shared" si="12"/>
        <v>0</v>
      </c>
      <c r="I22" s="71">
        <f t="shared" si="12"/>
        <v>0</v>
      </c>
      <c r="J22" s="71">
        <f t="shared" si="12"/>
        <v>0</v>
      </c>
      <c r="K22" s="71">
        <f t="shared" si="12"/>
        <v>0</v>
      </c>
      <c r="L22" s="71">
        <f t="shared" si="12"/>
        <v>0</v>
      </c>
      <c r="M22" s="71">
        <f t="shared" si="12"/>
        <v>0</v>
      </c>
      <c r="N22" s="71">
        <f t="shared" si="12"/>
        <v>0</v>
      </c>
      <c r="O22" s="71">
        <f t="shared" si="12"/>
        <v>3500</v>
      </c>
      <c r="P22" s="71">
        <f t="shared" si="12"/>
        <v>0</v>
      </c>
      <c r="Q22" s="71">
        <f t="shared" si="12"/>
        <v>1600</v>
      </c>
      <c r="R22" s="71">
        <f t="shared" si="12"/>
        <v>1600</v>
      </c>
      <c r="S22" s="71">
        <f t="shared" si="12"/>
        <v>0</v>
      </c>
      <c r="T22" s="71">
        <f t="shared" si="12"/>
        <v>300</v>
      </c>
      <c r="U22" s="71">
        <f t="shared" si="12"/>
        <v>0</v>
      </c>
      <c r="V22" s="71">
        <f t="shared" si="12"/>
        <v>3500</v>
      </c>
      <c r="W22" s="339"/>
      <c r="X22" s="344">
        <f>+F22*70%</f>
        <v>3283.2449999999999</v>
      </c>
    </row>
    <row r="23" spans="1:25" ht="44.25" customHeight="1" x14ac:dyDescent="0.2">
      <c r="A23" s="11">
        <v>1</v>
      </c>
      <c r="B23" s="51" t="s">
        <v>450</v>
      </c>
      <c r="C23" s="22"/>
      <c r="D23" s="427" t="s">
        <v>370</v>
      </c>
      <c r="E23" s="70">
        <v>1</v>
      </c>
      <c r="F23" s="70">
        <v>4690.3500000000004</v>
      </c>
      <c r="G23" s="70"/>
      <c r="H23" s="31"/>
      <c r="I23" s="70"/>
      <c r="J23" s="70"/>
      <c r="K23" s="70"/>
      <c r="L23" s="69"/>
      <c r="M23" s="70"/>
      <c r="N23" s="76"/>
      <c r="O23" s="76">
        <f>+P23+Q23+R23+T23+U23</f>
        <v>3500</v>
      </c>
      <c r="P23" s="70"/>
      <c r="Q23" s="70">
        <v>1600</v>
      </c>
      <c r="R23" s="73">
        <v>1600</v>
      </c>
      <c r="S23" s="70"/>
      <c r="T23" s="70">
        <v>300</v>
      </c>
      <c r="U23" s="70">
        <v>0</v>
      </c>
      <c r="V23" s="71">
        <f>+N23+O23</f>
        <v>3500</v>
      </c>
      <c r="W23" s="350" t="s">
        <v>371</v>
      </c>
      <c r="X23" s="344"/>
    </row>
    <row r="24" spans="1:25" s="167" customFormat="1" ht="22.5" customHeight="1" x14ac:dyDescent="0.25">
      <c r="A24" s="11" t="s">
        <v>102</v>
      </c>
      <c r="B24" s="59" t="s">
        <v>12</v>
      </c>
      <c r="C24" s="12"/>
      <c r="D24" s="120"/>
      <c r="E24" s="71">
        <f>SUM(E25)</f>
        <v>1</v>
      </c>
      <c r="F24" s="71">
        <f t="shared" ref="F24:V24" si="13">SUM(F25)</f>
        <v>2000</v>
      </c>
      <c r="G24" s="71">
        <f t="shared" si="13"/>
        <v>0</v>
      </c>
      <c r="H24" s="71">
        <f t="shared" si="13"/>
        <v>0</v>
      </c>
      <c r="I24" s="71">
        <f t="shared" si="13"/>
        <v>0</v>
      </c>
      <c r="J24" s="71">
        <f t="shared" si="13"/>
        <v>0</v>
      </c>
      <c r="K24" s="71">
        <f t="shared" si="13"/>
        <v>0</v>
      </c>
      <c r="L24" s="71">
        <f t="shared" si="13"/>
        <v>0</v>
      </c>
      <c r="M24" s="71">
        <f t="shared" si="13"/>
        <v>0</v>
      </c>
      <c r="N24" s="71">
        <f t="shared" si="13"/>
        <v>0</v>
      </c>
      <c r="O24" s="71">
        <f t="shared" si="13"/>
        <v>1700</v>
      </c>
      <c r="P24" s="71">
        <f t="shared" si="13"/>
        <v>0</v>
      </c>
      <c r="Q24" s="71">
        <f t="shared" si="13"/>
        <v>1100</v>
      </c>
      <c r="R24" s="71">
        <f t="shared" si="13"/>
        <v>400</v>
      </c>
      <c r="S24" s="71">
        <f t="shared" si="13"/>
        <v>0</v>
      </c>
      <c r="T24" s="71">
        <f t="shared" si="13"/>
        <v>200</v>
      </c>
      <c r="U24" s="71">
        <f t="shared" si="13"/>
        <v>0</v>
      </c>
      <c r="V24" s="71">
        <f t="shared" si="13"/>
        <v>1700</v>
      </c>
      <c r="W24" s="339"/>
      <c r="X24" s="344">
        <f>+F24*70%</f>
        <v>1400</v>
      </c>
    </row>
    <row r="25" spans="1:25" ht="44.25" customHeight="1" x14ac:dyDescent="0.2">
      <c r="A25" s="11">
        <v>1</v>
      </c>
      <c r="B25" s="51" t="s">
        <v>433</v>
      </c>
      <c r="C25" s="22"/>
      <c r="D25" s="427" t="s">
        <v>370</v>
      </c>
      <c r="E25" s="70">
        <v>1</v>
      </c>
      <c r="F25" s="70">
        <v>2000</v>
      </c>
      <c r="G25" s="70"/>
      <c r="H25" s="31"/>
      <c r="I25" s="70"/>
      <c r="J25" s="70"/>
      <c r="K25" s="70"/>
      <c r="L25" s="69"/>
      <c r="M25" s="70"/>
      <c r="N25" s="76"/>
      <c r="O25" s="76">
        <f>+P25+Q25+R25+T25+U25</f>
        <v>1700</v>
      </c>
      <c r="P25" s="70"/>
      <c r="Q25" s="70">
        <v>1100</v>
      </c>
      <c r="R25" s="73">
        <v>400</v>
      </c>
      <c r="S25" s="70"/>
      <c r="T25" s="70">
        <v>200</v>
      </c>
      <c r="U25" s="70">
        <v>0</v>
      </c>
      <c r="V25" s="71">
        <f>+N25+O25</f>
        <v>1700</v>
      </c>
      <c r="W25" s="350" t="s">
        <v>454</v>
      </c>
      <c r="X25" s="344"/>
    </row>
    <row r="26" spans="1:25" s="167" customFormat="1" ht="22.5" customHeight="1" x14ac:dyDescent="0.25">
      <c r="A26" s="11" t="s">
        <v>103</v>
      </c>
      <c r="B26" s="59" t="s">
        <v>11</v>
      </c>
      <c r="C26" s="12"/>
      <c r="D26" s="120"/>
      <c r="E26" s="71">
        <f>SUM(E27:E28)</f>
        <v>2</v>
      </c>
      <c r="F26" s="71">
        <f t="shared" ref="F26:V26" si="14">SUM(F27:F28)</f>
        <v>5600</v>
      </c>
      <c r="G26" s="71">
        <f t="shared" si="14"/>
        <v>0</v>
      </c>
      <c r="H26" s="71">
        <f t="shared" si="14"/>
        <v>0</v>
      </c>
      <c r="I26" s="71">
        <f t="shared" si="14"/>
        <v>0</v>
      </c>
      <c r="J26" s="71">
        <f t="shared" si="14"/>
        <v>0</v>
      </c>
      <c r="K26" s="71">
        <f t="shared" si="14"/>
        <v>0</v>
      </c>
      <c r="L26" s="71">
        <f t="shared" si="14"/>
        <v>0</v>
      </c>
      <c r="M26" s="71">
        <f t="shared" si="14"/>
        <v>0</v>
      </c>
      <c r="N26" s="71">
        <f t="shared" si="14"/>
        <v>0</v>
      </c>
      <c r="O26" s="71">
        <f t="shared" si="14"/>
        <v>2600</v>
      </c>
      <c r="P26" s="71">
        <f t="shared" si="14"/>
        <v>0</v>
      </c>
      <c r="Q26" s="71">
        <f t="shared" si="14"/>
        <v>0</v>
      </c>
      <c r="R26" s="71">
        <f t="shared" si="14"/>
        <v>2400</v>
      </c>
      <c r="S26" s="71">
        <f t="shared" si="14"/>
        <v>0</v>
      </c>
      <c r="T26" s="71">
        <f t="shared" si="14"/>
        <v>200</v>
      </c>
      <c r="U26" s="71">
        <f t="shared" si="14"/>
        <v>0</v>
      </c>
      <c r="V26" s="71">
        <f t="shared" si="14"/>
        <v>2600</v>
      </c>
      <c r="W26" s="339"/>
      <c r="X26" s="344">
        <f>+F26*70%</f>
        <v>3919.9999999999995</v>
      </c>
    </row>
    <row r="27" spans="1:25" ht="44.25" customHeight="1" x14ac:dyDescent="0.2">
      <c r="A27" s="11">
        <v>1</v>
      </c>
      <c r="B27" s="51" t="s">
        <v>455</v>
      </c>
      <c r="C27" s="22"/>
      <c r="D27" s="427" t="s">
        <v>370</v>
      </c>
      <c r="E27" s="70">
        <v>1</v>
      </c>
      <c r="F27" s="70">
        <v>4700</v>
      </c>
      <c r="G27" s="70"/>
      <c r="H27" s="31"/>
      <c r="I27" s="70"/>
      <c r="J27" s="70"/>
      <c r="K27" s="70"/>
      <c r="L27" s="69"/>
      <c r="M27" s="70"/>
      <c r="N27" s="76"/>
      <c r="O27" s="76">
        <f>+P27+Q27+R27+T27+U27</f>
        <v>1800</v>
      </c>
      <c r="P27" s="70"/>
      <c r="Q27" s="70"/>
      <c r="R27" s="73">
        <v>1600</v>
      </c>
      <c r="S27" s="70"/>
      <c r="T27" s="70">
        <v>200</v>
      </c>
      <c r="U27" s="70"/>
      <c r="V27" s="71">
        <f>+N27+O27</f>
        <v>1800</v>
      </c>
      <c r="W27" s="350" t="s">
        <v>371</v>
      </c>
      <c r="X27" s="344"/>
    </row>
    <row r="28" spans="1:25" ht="31.5" x14ac:dyDescent="0.2">
      <c r="A28" s="11">
        <v>2</v>
      </c>
      <c r="B28" s="51" t="s">
        <v>626</v>
      </c>
      <c r="C28" s="22"/>
      <c r="D28" s="427" t="s">
        <v>370</v>
      </c>
      <c r="E28" s="70">
        <v>1</v>
      </c>
      <c r="F28" s="70">
        <v>900</v>
      </c>
      <c r="G28" s="70"/>
      <c r="H28" s="31"/>
      <c r="I28" s="70"/>
      <c r="J28" s="70"/>
      <c r="K28" s="70"/>
      <c r="L28" s="69"/>
      <c r="M28" s="70"/>
      <c r="N28" s="76"/>
      <c r="O28" s="76">
        <f>+P28+Q28+R28+T28+U28</f>
        <v>800</v>
      </c>
      <c r="P28" s="70"/>
      <c r="Q28" s="70"/>
      <c r="R28" s="73">
        <v>800</v>
      </c>
      <c r="S28" s="70"/>
      <c r="T28" s="70"/>
      <c r="U28" s="70"/>
      <c r="V28" s="71">
        <f>+N28+O28</f>
        <v>800</v>
      </c>
      <c r="W28" s="350" t="s">
        <v>627</v>
      </c>
    </row>
  </sheetData>
  <mergeCells count="24">
    <mergeCell ref="L1:W1"/>
    <mergeCell ref="A2:W2"/>
    <mergeCell ref="A3:W3"/>
    <mergeCell ref="A4:W4"/>
    <mergeCell ref="A5:A9"/>
    <mergeCell ref="B5:B9"/>
    <mergeCell ref="C5:C9"/>
    <mergeCell ref="D5:D9"/>
    <mergeCell ref="E5:E9"/>
    <mergeCell ref="F5:F9"/>
    <mergeCell ref="V5:V9"/>
    <mergeCell ref="W5:W9"/>
    <mergeCell ref="H7:H9"/>
    <mergeCell ref="I7:I9"/>
    <mergeCell ref="J7:J9"/>
    <mergeCell ref="K7:K9"/>
    <mergeCell ref="L7:L9"/>
    <mergeCell ref="M7:M9"/>
    <mergeCell ref="O7:O9"/>
    <mergeCell ref="P7:U8"/>
    <mergeCell ref="G5:G9"/>
    <mergeCell ref="H5:M6"/>
    <mergeCell ref="N5:N9"/>
    <mergeCell ref="O5:U6"/>
  </mergeCells>
  <pageMargins left="0.67" right="0.15748031496062992" top="0.47244094488188981" bottom="0.34" header="0.31496062992125984" footer="0.26"/>
  <pageSetup paperSize="9" scale="85" orientation="landscape" r:id="rId1"/>
  <headerFooter>
    <oddFooter>Page &amp;P&amp;R&amp;A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DK VỐN</vt:lpstr>
      <vt:lpstr>Tổng hợp KHV 2024</vt:lpstr>
      <vt:lpstr>CT huyện -2024</vt:lpstr>
      <vt:lpstr>KHV hạ tầng dân cư xây mới</vt:lpstr>
      <vt:lpstr>KHV hạ tầng dân cư CBĐT</vt:lpstr>
      <vt:lpstr>Hạ tầng dân cư - vốn vay</vt:lpstr>
      <vt:lpstr>CT xa-TT-2024</vt:lpstr>
      <vt:lpstr>CT-NTM 2024</vt:lpstr>
      <vt:lpstr>hạ tầng NNNT</vt:lpstr>
      <vt:lpstr>KHV QHXD</vt:lpstr>
      <vt:lpstr>KHV đo đạc cấp GCN</vt:lpstr>
      <vt:lpstr>Dự kiến thu tiền đất 2024 </vt:lpstr>
      <vt:lpstr>'CT huyện -2024'!Print_Titles</vt:lpstr>
      <vt:lpstr>'CT xa-TT-2024'!Print_Titles</vt:lpstr>
      <vt:lpstr>'CT-NTM 2024'!Print_Titles</vt:lpstr>
      <vt:lpstr>'DK VỐN'!Print_Titles</vt:lpstr>
      <vt:lpstr>'Dự kiến thu tiền đất 2024 '!Print_Titles</vt:lpstr>
      <vt:lpstr>'Hạ tầng dân cư - vốn vay'!Print_Titles</vt:lpstr>
      <vt:lpstr>'hạ tầng NNNT'!Print_Titles</vt:lpstr>
      <vt:lpstr>'KHV đo đạc cấp GCN'!Print_Titles</vt:lpstr>
      <vt:lpstr>'KHV hạ tầng dân cư CBĐT'!Print_Titles</vt:lpstr>
      <vt:lpstr>'KHV hạ tầng dân cư xây mới'!Print_Titles</vt:lpstr>
      <vt:lpstr>'KHV QHXD'!Print_Titles</vt:lpstr>
      <vt:lpstr>'Tổng hợp KHV 2024'!Print_Titles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THAOTC</dc:creator>
  <cp:lastModifiedBy>THAO</cp:lastModifiedBy>
  <cp:lastPrinted>2023-12-10T02:08:53Z</cp:lastPrinted>
  <dcterms:created xsi:type="dcterms:W3CDTF">2021-07-30T01:33:04Z</dcterms:created>
  <dcterms:modified xsi:type="dcterms:W3CDTF">2023-12-12T10:38:53Z</dcterms:modified>
</cp:coreProperties>
</file>